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8"/>
  </bookViews>
  <sheets>
    <sheet name="Suite" sheetId="1" r:id="rId1"/>
    <sheet name="Données" sheetId="2" r:id="rId2"/>
    <sheet name="Modéle vierge" sheetId="3" r:id="rId3"/>
    <sheet name="Sol 1" sheetId="4" r:id="rId4"/>
    <sheet name="Sol 2 " sheetId="5" r:id="rId5"/>
    <sheet name="RECAP " sheetId="6" r:id="rId6"/>
    <sheet name="suite 10" sheetId="7" r:id="rId7"/>
    <sheet name="Suite 11" sheetId="8" r:id="rId8"/>
    <sheet name="Suite 12" sheetId="9" r:id="rId9"/>
    <sheet name="Recap" sheetId="10" r:id="rId10"/>
  </sheets>
  <definedNames/>
  <calcPr fullCalcOnLoad="1" iterate="1" iterateCount="20" iterateDelta="0.001"/>
</workbook>
</file>

<file path=xl/sharedStrings.xml><?xml version="1.0" encoding="utf-8"?>
<sst xmlns="http://schemas.openxmlformats.org/spreadsheetml/2006/main" count="320" uniqueCount="172">
  <si>
    <t>CALCUL DEBOURSE SEC</t>
  </si>
  <si>
    <t>CHAPITRE 01: PESSEGUE CASTELNAU</t>
  </si>
  <si>
    <t>SOUS-CHAPITRE 01 : TRAVAUX DE FONDATION</t>
  </si>
  <si>
    <t>CODE</t>
  </si>
  <si>
    <t>LIBELLE</t>
  </si>
  <si>
    <t>U</t>
  </si>
  <si>
    <t>FG</t>
  </si>
  <si>
    <t>QUANTITE</t>
  </si>
  <si>
    <t>P.U.</t>
  </si>
  <si>
    <t>MONTANT</t>
  </si>
  <si>
    <t>P.U.VENTE</t>
  </si>
  <si>
    <t>P.T.VENTE</t>
  </si>
  <si>
    <t>% FG MOYEN</t>
  </si>
  <si>
    <t>M3</t>
  </si>
  <si>
    <t>H</t>
  </si>
  <si>
    <t>TOTAUX</t>
  </si>
  <si>
    <t>BETON FONDATION PEU ARME</t>
  </si>
  <si>
    <t>MACON</t>
  </si>
  <si>
    <t>FER HA DIAM 6  0,222KG/ML</t>
  </si>
  <si>
    <t>KG</t>
  </si>
  <si>
    <t>FER HA DIAM 10 0,616KG/ML</t>
  </si>
  <si>
    <t>BETON B16 250 KG 10 A 25 KM</t>
  </si>
  <si>
    <t>MONTAGE BLOCS AGGLO DE 20*25*50</t>
  </si>
  <si>
    <t>M2</t>
  </si>
  <si>
    <t>MEGABLOCS 20*25*50</t>
  </si>
  <si>
    <t>SABLE</t>
  </si>
  <si>
    <t>T</t>
  </si>
  <si>
    <t>TRANSPORT AGREGATS</t>
  </si>
  <si>
    <t>CIMENT</t>
  </si>
  <si>
    <t>ELEVATEUR</t>
  </si>
  <si>
    <t>TOTAL SOUS CHAPITRE 01</t>
  </si>
  <si>
    <t>MARGE</t>
  </si>
  <si>
    <t>=</t>
  </si>
  <si>
    <t>SOUS-CHAPITRE 02 : VARIANTE</t>
  </si>
  <si>
    <t>RECAPITULATION</t>
  </si>
  <si>
    <t>TACHE</t>
  </si>
  <si>
    <t>QUANT</t>
  </si>
  <si>
    <t>RDT</t>
  </si>
  <si>
    <t>NB HEURE</t>
  </si>
  <si>
    <t>COUTS DIRETCS</t>
  </si>
  <si>
    <t>PRIX VENTE</t>
  </si>
  <si>
    <t>MARGE/HEURE</t>
  </si>
  <si>
    <t xml:space="preserve">CALCUL DEBOURSE SEC = COÛTS DIRECTS  </t>
  </si>
  <si>
    <t>CH</t>
  </si>
  <si>
    <t>SCH</t>
  </si>
  <si>
    <t>Q</t>
  </si>
  <si>
    <t>P.T.</t>
  </si>
  <si>
    <t>P.U.  VENTE</t>
  </si>
  <si>
    <t>P.T.  VENTE</t>
  </si>
  <si>
    <t>TOTAL</t>
  </si>
  <si>
    <t>(4)</t>
  </si>
  <si>
    <t>(1)</t>
  </si>
  <si>
    <t>(2)</t>
  </si>
  <si>
    <t>(3)</t>
  </si>
  <si>
    <t>(5)</t>
  </si>
  <si>
    <t>(6)</t>
  </si>
  <si>
    <t>Quantité de composant par unité de Tache</t>
  </si>
  <si>
    <t>H/M3</t>
  </si>
  <si>
    <t xml:space="preserve"> (2)</t>
  </si>
  <si>
    <t>Prix de l'unité de composant</t>
  </si>
  <si>
    <t>Prix de l'heure de Main d'oeuvre</t>
  </si>
  <si>
    <t>Côut total du composant dans la tache ou ouvrage élémentaire  (1)*(2)</t>
  </si>
  <si>
    <t>Quantité d'ouvrage élémentaire dans le chantier ou la partie du chantier étudiée</t>
  </si>
  <si>
    <t>Somme des Côuts totaux de composants</t>
  </si>
  <si>
    <t>Côut total de la tache, ou ouvrage élémentaire  dans le chantier ou la partie du chantier étudiée (4)*(5)</t>
  </si>
  <si>
    <t>MATERIEL</t>
  </si>
  <si>
    <t>SOL 1</t>
  </si>
  <si>
    <t>SOL 2</t>
  </si>
  <si>
    <t>Sol 2 avec Prix de Vente 1</t>
  </si>
  <si>
    <t>Sol 2 avec PV Marge 1</t>
  </si>
  <si>
    <t>SI ON ANALYSE NOS HYPOTHESES DE DEPART AVEC CETTE METHODE</t>
  </si>
  <si>
    <t>ON EVALUE LA SOMME DES COUTS SUR L'ANNEE</t>
  </si>
  <si>
    <t>COUTS DIRECTS</t>
  </si>
  <si>
    <t>SALAIRES</t>
  </si>
  <si>
    <t>ACHATS MATERIAUX</t>
  </si>
  <si>
    <t>SOUS TRAITANTS</t>
  </si>
  <si>
    <t>TOTAL CD</t>
  </si>
  <si>
    <t>COUTS INDIRECTS</t>
  </si>
  <si>
    <t>CHIFFRE D'AFFAIRE OU PV</t>
  </si>
  <si>
    <t>CA/CD</t>
  </si>
  <si>
    <t>2/1</t>
  </si>
  <si>
    <t>POUR OBTENIR LE PRIX DE VENTE D'UN CHANTIER IL SUFFIT DE FAIRE</t>
  </si>
  <si>
    <t>CI</t>
  </si>
  <si>
    <t xml:space="preserve">Hypothése coût Heure = </t>
  </si>
  <si>
    <t>Heures de production</t>
  </si>
  <si>
    <t>MARGE PAR HEURE DE PRODUCTION</t>
  </si>
  <si>
    <t>Si l'on compare deux chantiers</t>
  </si>
  <si>
    <t>Chantier 1</t>
  </si>
  <si>
    <t>Coûts Directs</t>
  </si>
  <si>
    <t>Montants</t>
  </si>
  <si>
    <t>PV</t>
  </si>
  <si>
    <t>Salaires</t>
  </si>
  <si>
    <t>Achats</t>
  </si>
  <si>
    <t>Matériel</t>
  </si>
  <si>
    <t>SS</t>
  </si>
  <si>
    <t>Total</t>
  </si>
  <si>
    <t>Chantier 2</t>
  </si>
  <si>
    <t>Nb Heure</t>
  </si>
  <si>
    <t>Soit capacité de production annuelle</t>
  </si>
  <si>
    <t>heures</t>
  </si>
  <si>
    <t>Nb de Chantiers</t>
  </si>
  <si>
    <t xml:space="preserve">Il faut cependant se rappeler que la solution initiale de calcul du prix de vente </t>
  </si>
  <si>
    <t>COEFF GLOBAL</t>
  </si>
  <si>
    <t>CALCUL DU PRIX DE VENTE A PARTIR DE LA MARGE PAR UNITE DE PRODUCTION</t>
  </si>
  <si>
    <t>Somme des CD*1,28 =  PV</t>
  </si>
  <si>
    <t>Les hypothèses choisies sont bien sur extrêmes.</t>
  </si>
  <si>
    <t>découlait de l'hypothèse que la Ratio CA/CD était constant quel que soit le chantier.</t>
  </si>
  <si>
    <t>Total CD</t>
  </si>
  <si>
    <t>PRIX DE VENTE</t>
  </si>
  <si>
    <t>COEFF 1</t>
  </si>
  <si>
    <t>COEFF 2</t>
  </si>
  <si>
    <t>MARGE / HEURE</t>
  </si>
  <si>
    <t>Nb HEURE</t>
  </si>
  <si>
    <t>20€/H</t>
  </si>
  <si>
    <t>Marge dégagée</t>
  </si>
  <si>
    <t xml:space="preserve">Nb de Chantiers à réaliser pour une marge de </t>
  </si>
  <si>
    <t>Nb heures</t>
  </si>
  <si>
    <t>=300 000 /20 =</t>
  </si>
  <si>
    <t>Béton</t>
  </si>
  <si>
    <t>Agglo</t>
  </si>
  <si>
    <t>MARGE    =  +</t>
  </si>
  <si>
    <t>Prix de Vente =</t>
  </si>
  <si>
    <t>MARGE = +</t>
  </si>
  <si>
    <t xml:space="preserve"> </t>
  </si>
  <si>
    <t>MEGABLOCS lg20* ht25* LG 50</t>
  </si>
  <si>
    <t>Le Prix de vente =</t>
  </si>
  <si>
    <t xml:space="preserve"> Somme des Coûts Directs</t>
  </si>
  <si>
    <t>+ Somme des Coûts des Coûts Indirects</t>
  </si>
  <si>
    <t>On a donc l’équation suivante</t>
  </si>
  <si>
    <t>La Marge = Prix de vente - coûts directs= PV - CD</t>
  </si>
  <si>
    <t>ON VA ETUDIER LE CAS D’UNE FONDATION</t>
  </si>
  <si>
    <t>ON COMMENCE PAR CALCULER UN PRIX DE VENTE PAR LA METHODE DES COEFFICIENTS</t>
  </si>
  <si>
    <t>On se propose d’analyser la variation de la marge dégagée pour un même chantier  en étudiant deux solutions techniques</t>
  </si>
  <si>
    <t xml:space="preserve"> L’objectif du chantier est de dégager une «Marge »,c’est à dire une valeur monétaire suffisante pour financer l’ensemble des coûts indirects liés « théoriquement » au chantier.</t>
  </si>
  <si>
    <t>LISTE DES COMPOSANTS NECESSAIRES POUR REALISER CETTE TACHE</t>
  </si>
  <si>
    <t>(1)*(2) =(3)</t>
  </si>
  <si>
    <t>P TOTAL</t>
  </si>
  <si>
    <t>SOMME des totaux (3)</t>
  </si>
  <si>
    <t>Le prix unitaire en déboursé de la tâche = la somme des coûts de chaque composants par unité de tâche . Le prix total de la tâche = le prix unitaire multiplié par la quantité de tâche.</t>
  </si>
  <si>
    <t>(fg)</t>
  </si>
  <si>
    <t>(fg)x (3) =(pv1)</t>
  </si>
  <si>
    <t>Le prix unitaire de vente de la tâche = la somme des prix unitaires de vente des composants. Le prix de vente = le prix unitaire vente multiplié par la quantité de tâche.</t>
  </si>
  <si>
    <t>somme (pv1) =(7)</t>
  </si>
  <si>
    <t>(4)x(7) =(8)</t>
  </si>
  <si>
    <t>((8)-(6))/(6)</t>
  </si>
  <si>
    <t>somme (3)=(5)</t>
  </si>
  <si>
    <t>POUR ANALYSER LA MARGE DEGAGEE ON INTRODUIT LA NOTION D'UNITE DE PRODUCTION. ET ON COMPARE LA MARGE PAR RAPPORT A L'UNITE DE PRODUCTION. DANS NOTRE CAS ON CONSIDERE QUE L'UNITE DE PRODUCTION EST L'HEURE DE TRAVAIL</t>
  </si>
  <si>
    <t>Une première analyse fait constater les éléments suivants:</t>
  </si>
  <si>
    <t>Le prix de vente de la solution 1 est inférieur au prix de la solution 2</t>
  </si>
  <si>
    <t>La marge dégagée est  par la solution 1 est supérieure à la marge dégagée par la solution 2</t>
  </si>
  <si>
    <t>LE CLIENT ET L'ENTREPRISE ONT INTÊRET A CHOISIR LA SOLUTION 1</t>
  </si>
  <si>
    <t xml:space="preserve">Si l'on fait intervenir </t>
  </si>
  <si>
    <t>oui</t>
  </si>
  <si>
    <t>La marge par unité de production est plus importante avec la solution 2</t>
  </si>
  <si>
    <t>On va donc se baser sur le prix que peut payer le client, c'est à dire le prix de la solution 1: on obtient une marge par unité de production qui est encore supérieure à la solution 1</t>
  </si>
  <si>
    <t>Si l'on tient à ce marché et que la marge dégagée par la solution 1 nous suffit, on peut calculer un nouveau prix de vente qui sera inférieur à celui de la solution 1</t>
  </si>
  <si>
    <t>Mais comme le prix de vente est supérieur on ne peut pas vendre cette solution.</t>
  </si>
  <si>
    <t>OU</t>
  </si>
  <si>
    <t>La marge par heure =</t>
  </si>
  <si>
    <t>Coût heure =</t>
  </si>
  <si>
    <t>PV avec coefficient</t>
  </si>
  <si>
    <t>CA D'AFFAIRE = Prix de vente* nb de chantier</t>
  </si>
  <si>
    <t xml:space="preserve">Marge </t>
  </si>
  <si>
    <t>ON APPLIQUE AU PRIX DE VENTE LA METHODE DE LA MARGE PAR UNITE DE PRODUCTION</t>
  </si>
  <si>
    <t>La structure de l'entreprise et donc les côuts indirects varient en fonction du nombre de chantier.</t>
  </si>
  <si>
    <t>IL SUFFIRA D'UNE FAIBLE ADAPTATION DE LA VALEUR DE LA MARGE PAR HEURE POUR EN TENIR COMPTE</t>
  </si>
  <si>
    <t>Pour une même prestation pour le client on peut avoir plusieurs prix de vente</t>
  </si>
  <si>
    <t>Somme des coûts directs hors maind'œuvre +nb heure x (coût heure+marge par heure) = PV</t>
  </si>
  <si>
    <t>Coûts Directs hors main d'oeuvre</t>
  </si>
  <si>
    <t>Marge par heure de production</t>
  </si>
  <si>
    <t xml:space="preserve">Chantier </t>
  </si>
  <si>
    <t xml:space="preserve">On se rend compte à l'expérience que c'est le Ratio Marge/heure de production qui est le plus pertinent pour évaluer les coûts indirects.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</si>
</sst>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%"/>
    <numFmt numFmtId="175" formatCode="_-* #,##0.000\ _F_-;\-* #,##0.000\ _F_-;_-* &quot;-&quot;??\ _F_-;_-@_-"/>
    <numFmt numFmtId="176" formatCode="_-* #,##0.0000\ _F_-;\-* #,##0.0000\ _F_-;_-* &quot;-&quot;??\ _F_-;_-@_-"/>
    <numFmt numFmtId="177" formatCode="_-* #,##0.000\ &quot;€&quot;_-;\-* #,##0.000\ &quot;€&quot;_-;_-* &quot;-&quot;??\ &quot;€&quot;_-;_-@_-"/>
    <numFmt numFmtId="178" formatCode="_-* #,##0.0000\ &quot;€&quot;_-;\-* #,##0.0000\ &quot;€&quot;_-;_-* &quot;-&quot;??\ &quot;€&quot;_-;_-@_-"/>
    <numFmt numFmtId="179" formatCode="_-* #,##0.00000\ &quot;€&quot;_-;\-* #,##0.00000\ &quot;€&quot;_-;_-* &quot;-&quot;??\ &quot;€&quot;_-;_-@_-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>
        <color indexed="42"/>
      </left>
      <right style="double">
        <color indexed="42"/>
      </right>
      <top style="double">
        <color indexed="42"/>
      </top>
      <bottom>
        <color indexed="63"/>
      </bottom>
    </border>
    <border>
      <left style="double">
        <color indexed="42"/>
      </left>
      <right style="double">
        <color indexed="42"/>
      </right>
      <top>
        <color indexed="63"/>
      </top>
      <bottom>
        <color indexed="63"/>
      </bottom>
    </border>
    <border>
      <left style="double">
        <color indexed="42"/>
      </left>
      <right style="double">
        <color indexed="42"/>
      </right>
      <top>
        <color indexed="63"/>
      </top>
      <bottom style="double">
        <color indexed="42"/>
      </bottom>
    </border>
    <border>
      <left style="double">
        <color indexed="42"/>
      </left>
      <right>
        <color indexed="63"/>
      </right>
      <top>
        <color indexed="63"/>
      </top>
      <bottom style="double">
        <color indexed="4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20" applyAlignment="1">
      <alignment/>
    </xf>
    <xf numFmtId="0" fontId="1" fillId="0" borderId="1" xfId="0" applyFont="1" applyBorder="1" applyAlignment="1">
      <alignment/>
    </xf>
    <xf numFmtId="171" fontId="1" fillId="0" borderId="1" xfId="20" applyFont="1" applyBorder="1" applyAlignment="1">
      <alignment/>
    </xf>
    <xf numFmtId="0" fontId="1" fillId="0" borderId="0" xfId="0" applyFont="1" applyAlignment="1">
      <alignment wrapText="1"/>
    </xf>
    <xf numFmtId="171" fontId="1" fillId="0" borderId="0" xfId="20" applyFont="1" applyAlignment="1">
      <alignment/>
    </xf>
    <xf numFmtId="171" fontId="0" fillId="0" borderId="0" xfId="2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1" fontId="0" fillId="0" borderId="4" xfId="20" applyBorder="1" applyAlignment="1">
      <alignment/>
    </xf>
    <xf numFmtId="0" fontId="1" fillId="0" borderId="2" xfId="0" applyFont="1" applyBorder="1" applyAlignment="1">
      <alignment/>
    </xf>
    <xf numFmtId="171" fontId="1" fillId="0" borderId="3" xfId="20" applyFont="1" applyBorder="1" applyAlignment="1">
      <alignment/>
    </xf>
    <xf numFmtId="171" fontId="1" fillId="0" borderId="4" xfId="2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1" fontId="1" fillId="0" borderId="1" xfId="2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49" fontId="0" fillId="0" borderId="0" xfId="20" applyNumberFormat="1" applyFont="1" applyAlignment="1">
      <alignment horizontal="center"/>
    </xf>
    <xf numFmtId="49" fontId="0" fillId="0" borderId="0" xfId="20" applyNumberFormat="1" applyFont="1" applyAlignment="1">
      <alignment horizontal="left"/>
    </xf>
    <xf numFmtId="0" fontId="2" fillId="0" borderId="0" xfId="0" applyFont="1" applyAlignment="1">
      <alignment/>
    </xf>
    <xf numFmtId="44" fontId="2" fillId="0" borderId="0" xfId="18" applyNumberFormat="1" applyFont="1" applyAlignment="1">
      <alignment/>
    </xf>
    <xf numFmtId="4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3" fontId="2" fillId="0" borderId="0" xfId="18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right"/>
    </xf>
    <xf numFmtId="43" fontId="0" fillId="0" borderId="0" xfId="18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3" fontId="3" fillId="0" borderId="0" xfId="18" applyFont="1" applyAlignment="1">
      <alignment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3" fontId="3" fillId="0" borderId="0" xfId="18" applyFont="1" applyAlignment="1">
      <alignment wrapText="1"/>
    </xf>
    <xf numFmtId="6" fontId="3" fillId="0" borderId="0" xfId="18" applyNumberFormat="1" applyFont="1" applyAlignment="1">
      <alignment/>
    </xf>
    <xf numFmtId="183" fontId="3" fillId="0" borderId="0" xfId="18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0" fillId="0" borderId="0" xfId="20" applyNumberFormat="1" applyFont="1" applyAlignment="1">
      <alignment/>
    </xf>
    <xf numFmtId="171" fontId="0" fillId="0" borderId="5" xfId="20" applyFont="1" applyBorder="1" applyAlignment="1">
      <alignment/>
    </xf>
    <xf numFmtId="171" fontId="1" fillId="0" borderId="0" xfId="20" applyFont="1" applyAlignment="1">
      <alignment/>
    </xf>
    <xf numFmtId="0" fontId="1" fillId="0" borderId="0" xfId="0" applyFont="1" applyAlignment="1">
      <alignment horizontal="right"/>
    </xf>
    <xf numFmtId="9" fontId="9" fillId="0" borderId="0" xfId="23" applyFont="1" applyAlignment="1">
      <alignment horizontal="left"/>
    </xf>
    <xf numFmtId="44" fontId="1" fillId="0" borderId="0" xfId="15" applyFont="1" applyAlignment="1">
      <alignment wrapText="1"/>
    </xf>
    <xf numFmtId="44" fontId="3" fillId="0" borderId="0" xfId="0" applyNumberFormat="1" applyFont="1" applyAlignment="1">
      <alignment/>
    </xf>
    <xf numFmtId="0" fontId="3" fillId="0" borderId="0" xfId="0" applyFont="1" applyAlignment="1">
      <alignment horizontal="center" wrapText="1" shrinkToFi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171" fontId="1" fillId="0" borderId="1" xfId="20" applyFont="1" applyBorder="1" applyAlignment="1">
      <alignment horizontal="center"/>
    </xf>
    <xf numFmtId="3" fontId="3" fillId="0" borderId="0" xfId="18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43" fontId="3" fillId="0" borderId="0" xfId="18" applyFont="1" applyAlignment="1">
      <alignment horizontal="center" wrapText="1" shrinkToFit="1"/>
    </xf>
    <xf numFmtId="0" fontId="3" fillId="0" borderId="0" xfId="0" applyFont="1" applyAlignment="1">
      <alignment horizontal="right" vertical="top" textRotation="180"/>
    </xf>
    <xf numFmtId="1" fontId="3" fillId="0" borderId="0" xfId="18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18" applyFont="1" applyAlignment="1">
      <alignment/>
    </xf>
    <xf numFmtId="41" fontId="3" fillId="0" borderId="0" xfId="18" applyNumberFormat="1" applyFont="1" applyAlignment="1">
      <alignment/>
    </xf>
    <xf numFmtId="41" fontId="3" fillId="0" borderId="0" xfId="18" applyNumberFormat="1" applyFont="1" applyAlignment="1">
      <alignment wrapText="1"/>
    </xf>
    <xf numFmtId="41" fontId="3" fillId="0" borderId="0" xfId="18" applyNumberFormat="1" applyFont="1" applyAlignment="1">
      <alignment horizontal="center" wrapText="1" shrinkToFi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iers_ETDPRI96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21</xdr:row>
      <xdr:rowOff>0</xdr:rowOff>
    </xdr:from>
    <xdr:to>
      <xdr:col>1</xdr:col>
      <xdr:colOff>1228725</xdr:colOff>
      <xdr:row>26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71600" y="3800475"/>
          <a:ext cx="619125" cy="885825"/>
        </a:xfrm>
        <a:prstGeom prst="rect">
          <a:avLst/>
        </a:prstGeom>
        <a:solidFill>
          <a:srgbClr val="969696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25</xdr:row>
      <xdr:rowOff>142875</xdr:rowOff>
    </xdr:from>
    <xdr:to>
      <xdr:col>1</xdr:col>
      <xdr:colOff>1133475</xdr:colOff>
      <xdr:row>25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466850" y="4591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25</xdr:row>
      <xdr:rowOff>66675</xdr:rowOff>
    </xdr:from>
    <xdr:to>
      <xdr:col>1</xdr:col>
      <xdr:colOff>733425</xdr:colOff>
      <xdr:row>25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1466850" y="4514850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25</xdr:row>
      <xdr:rowOff>57150</xdr:rowOff>
    </xdr:from>
    <xdr:to>
      <xdr:col>1</xdr:col>
      <xdr:colOff>1133475</xdr:colOff>
      <xdr:row>25</xdr:row>
      <xdr:rowOff>142875</xdr:rowOff>
    </xdr:to>
    <xdr:sp>
      <xdr:nvSpPr>
        <xdr:cNvPr id="4" name="Line 4"/>
        <xdr:cNvSpPr>
          <a:spLocks/>
        </xdr:cNvSpPr>
      </xdr:nvSpPr>
      <xdr:spPr>
        <a:xfrm flipH="1" flipV="1">
          <a:off x="1866900" y="450532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25</xdr:row>
      <xdr:rowOff>57150</xdr:rowOff>
    </xdr:from>
    <xdr:to>
      <xdr:col>1</xdr:col>
      <xdr:colOff>819150</xdr:colOff>
      <xdr:row>25</xdr:row>
      <xdr:rowOff>133350</xdr:rowOff>
    </xdr:to>
    <xdr:sp>
      <xdr:nvSpPr>
        <xdr:cNvPr id="5" name="Oval 5"/>
        <xdr:cNvSpPr>
          <a:spLocks/>
        </xdr:cNvSpPr>
      </xdr:nvSpPr>
      <xdr:spPr>
        <a:xfrm>
          <a:off x="1504950" y="45053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25</xdr:row>
      <xdr:rowOff>66675</xdr:rowOff>
    </xdr:from>
    <xdr:to>
      <xdr:col>1</xdr:col>
      <xdr:colOff>981075</xdr:colOff>
      <xdr:row>25</xdr:row>
      <xdr:rowOff>142875</xdr:rowOff>
    </xdr:to>
    <xdr:sp>
      <xdr:nvSpPr>
        <xdr:cNvPr id="6" name="Oval 6"/>
        <xdr:cNvSpPr>
          <a:spLocks/>
        </xdr:cNvSpPr>
      </xdr:nvSpPr>
      <xdr:spPr>
        <a:xfrm>
          <a:off x="1666875" y="4514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25</xdr:row>
      <xdr:rowOff>66675</xdr:rowOff>
    </xdr:from>
    <xdr:to>
      <xdr:col>1</xdr:col>
      <xdr:colOff>1085850</xdr:colOff>
      <xdr:row>25</xdr:row>
      <xdr:rowOff>142875</xdr:rowOff>
    </xdr:to>
    <xdr:sp>
      <xdr:nvSpPr>
        <xdr:cNvPr id="7" name="Oval 7"/>
        <xdr:cNvSpPr>
          <a:spLocks/>
        </xdr:cNvSpPr>
      </xdr:nvSpPr>
      <xdr:spPr>
        <a:xfrm>
          <a:off x="1771650" y="4514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619125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781050" y="3800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1219200</xdr:colOff>
      <xdr:row>21</xdr:row>
      <xdr:rowOff>0</xdr:rowOff>
    </xdr:from>
    <xdr:to>
      <xdr:col>1</xdr:col>
      <xdr:colOff>1857375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1981200" y="38004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23</xdr:row>
      <xdr:rowOff>104775</xdr:rowOff>
    </xdr:from>
    <xdr:to>
      <xdr:col>3</xdr:col>
      <xdr:colOff>628650</xdr:colOff>
      <xdr:row>26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3419475" y="4229100"/>
          <a:ext cx="657225" cy="4381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21</xdr:row>
      <xdr:rowOff>0</xdr:rowOff>
    </xdr:from>
    <xdr:to>
      <xdr:col>4</xdr:col>
      <xdr:colOff>447675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4076700" y="38004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2914650" y="3800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20</xdr:row>
      <xdr:rowOff>152400</xdr:rowOff>
    </xdr:from>
    <xdr:to>
      <xdr:col>3</xdr:col>
      <xdr:colOff>466725</xdr:colOff>
      <xdr:row>23</xdr:row>
      <xdr:rowOff>114300</xdr:rowOff>
    </xdr:to>
    <xdr:sp>
      <xdr:nvSpPr>
        <xdr:cNvPr id="13" name="Rectangle 13"/>
        <xdr:cNvSpPr>
          <a:spLocks/>
        </xdr:cNvSpPr>
      </xdr:nvSpPr>
      <xdr:spPr>
        <a:xfrm>
          <a:off x="3619500" y="3790950"/>
          <a:ext cx="295275" cy="4476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0</xdr:rowOff>
    </xdr:from>
    <xdr:to>
      <xdr:col>3</xdr:col>
      <xdr:colOff>552450</xdr:colOff>
      <xdr:row>26</xdr:row>
      <xdr:rowOff>0</xdr:rowOff>
    </xdr:to>
    <xdr:sp>
      <xdr:nvSpPr>
        <xdr:cNvPr id="14" name="Line 14"/>
        <xdr:cNvSpPr>
          <a:spLocks/>
        </xdr:cNvSpPr>
      </xdr:nvSpPr>
      <xdr:spPr>
        <a:xfrm>
          <a:off x="3514725" y="4610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66675</xdr:rowOff>
    </xdr:from>
    <xdr:to>
      <xdr:col>3</xdr:col>
      <xdr:colOff>123825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3505200" y="4514850"/>
          <a:ext cx="666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25</xdr:row>
      <xdr:rowOff>85725</xdr:rowOff>
    </xdr:from>
    <xdr:to>
      <xdr:col>3</xdr:col>
      <xdr:colOff>552450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971925" y="45339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95250</xdr:rowOff>
    </xdr:from>
    <xdr:to>
      <xdr:col>3</xdr:col>
      <xdr:colOff>180975</xdr:colOff>
      <xdr:row>26</xdr:row>
      <xdr:rowOff>9525</xdr:rowOff>
    </xdr:to>
    <xdr:sp>
      <xdr:nvSpPr>
        <xdr:cNvPr id="17" name="Oval 17"/>
        <xdr:cNvSpPr>
          <a:spLocks/>
        </xdr:cNvSpPr>
      </xdr:nvSpPr>
      <xdr:spPr>
        <a:xfrm>
          <a:off x="3552825" y="45434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76200</xdr:rowOff>
    </xdr:from>
    <xdr:to>
      <xdr:col>3</xdr:col>
      <xdr:colOff>371475</xdr:colOff>
      <xdr:row>25</xdr:row>
      <xdr:rowOff>152400</xdr:rowOff>
    </xdr:to>
    <xdr:sp>
      <xdr:nvSpPr>
        <xdr:cNvPr id="18" name="Oval 18"/>
        <xdr:cNvSpPr>
          <a:spLocks/>
        </xdr:cNvSpPr>
      </xdr:nvSpPr>
      <xdr:spPr>
        <a:xfrm>
          <a:off x="3743325" y="45243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25</xdr:row>
      <xdr:rowOff>104775</xdr:rowOff>
    </xdr:from>
    <xdr:to>
      <xdr:col>3</xdr:col>
      <xdr:colOff>533400</xdr:colOff>
      <xdr:row>26</xdr:row>
      <xdr:rowOff>9525</xdr:rowOff>
    </xdr:to>
    <xdr:sp>
      <xdr:nvSpPr>
        <xdr:cNvPr id="19" name="Oval 19"/>
        <xdr:cNvSpPr>
          <a:spLocks/>
        </xdr:cNvSpPr>
      </xdr:nvSpPr>
      <xdr:spPr>
        <a:xfrm>
          <a:off x="3895725" y="4552950"/>
          <a:ext cx="85725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23</xdr:row>
      <xdr:rowOff>114300</xdr:rowOff>
    </xdr:from>
    <xdr:to>
      <xdr:col>3</xdr:col>
      <xdr:colOff>180975</xdr:colOff>
      <xdr:row>23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3438525" y="42386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23</xdr:row>
      <xdr:rowOff>114300</xdr:rowOff>
    </xdr:from>
    <xdr:to>
      <xdr:col>3</xdr:col>
      <xdr:colOff>619125</xdr:colOff>
      <xdr:row>23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3943350" y="42386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21</xdr:row>
      <xdr:rowOff>0</xdr:rowOff>
    </xdr:from>
    <xdr:to>
      <xdr:col>3</xdr:col>
      <xdr:colOff>619125</xdr:colOff>
      <xdr:row>23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4067175" y="38004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21</xdr:row>
      <xdr:rowOff>0</xdr:rowOff>
    </xdr:from>
    <xdr:to>
      <xdr:col>2</xdr:col>
      <xdr:colOff>742950</xdr:colOff>
      <xdr:row>23</xdr:row>
      <xdr:rowOff>123825</xdr:rowOff>
    </xdr:to>
    <xdr:sp>
      <xdr:nvSpPr>
        <xdr:cNvPr id="23" name="Line 23"/>
        <xdr:cNvSpPr>
          <a:spLocks/>
        </xdr:cNvSpPr>
      </xdr:nvSpPr>
      <xdr:spPr>
        <a:xfrm flipH="1">
          <a:off x="3429000" y="3800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28</xdr:row>
      <xdr:rowOff>19050</xdr:rowOff>
    </xdr:from>
    <xdr:to>
      <xdr:col>1</xdr:col>
      <xdr:colOff>1343025</xdr:colOff>
      <xdr:row>30</xdr:row>
      <xdr:rowOff>9525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71600" y="49530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 2 bis</a:t>
          </a:r>
        </a:p>
      </xdr:txBody>
    </xdr:sp>
    <xdr:clientData/>
  </xdr:twoCellAnchor>
  <xdr:twoCellAnchor>
    <xdr:from>
      <xdr:col>1</xdr:col>
      <xdr:colOff>857250</xdr:colOff>
      <xdr:row>28</xdr:row>
      <xdr:rowOff>152400</xdr:rowOff>
    </xdr:from>
    <xdr:to>
      <xdr:col>1</xdr:col>
      <xdr:colOff>933450</xdr:colOff>
      <xdr:row>29</xdr:row>
      <xdr:rowOff>66675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619250" y="50863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714375</xdr:colOff>
      <xdr:row>30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448050" y="4933950"/>
          <a:ext cx="714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Sol1 bis</a:t>
          </a:r>
        </a:p>
      </xdr:txBody>
    </xdr:sp>
    <xdr:clientData/>
  </xdr:twoCellAnchor>
  <xdr:twoCellAnchor>
    <xdr:from>
      <xdr:col>1</xdr:col>
      <xdr:colOff>171450</xdr:colOff>
      <xdr:row>20</xdr:row>
      <xdr:rowOff>104775</xdr:rowOff>
    </xdr:from>
    <xdr:to>
      <xdr:col>1</xdr:col>
      <xdr:colOff>171450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33450" y="37433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323850</xdr:colOff>
      <xdr:row>26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819150" y="467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23</xdr:row>
      <xdr:rowOff>47625</xdr:rowOff>
    </xdr:from>
    <xdr:to>
      <xdr:col>0</xdr:col>
      <xdr:colOff>733425</xdr:colOff>
      <xdr:row>24</xdr:row>
      <xdr:rowOff>95250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14325" y="4171950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1,00</a:t>
          </a:r>
        </a:p>
      </xdr:txBody>
    </xdr:sp>
    <xdr:clientData/>
  </xdr:twoCellAnchor>
  <xdr:twoCellAnchor>
    <xdr:from>
      <xdr:col>1</xdr:col>
      <xdr:colOff>742950</xdr:colOff>
      <xdr:row>18</xdr:row>
      <xdr:rowOff>114300</xdr:rowOff>
    </xdr:from>
    <xdr:to>
      <xdr:col>1</xdr:col>
      <xdr:colOff>1133475</xdr:colOff>
      <xdr:row>19</xdr:row>
      <xdr:rowOff>142875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504950" y="34290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0,40</a:t>
          </a:r>
        </a:p>
      </xdr:txBody>
    </xdr:sp>
    <xdr:clientData/>
  </xdr:twoCellAnchor>
  <xdr:twoCellAnchor>
    <xdr:from>
      <xdr:col>4</xdr:col>
      <xdr:colOff>219075</xdr:colOff>
      <xdr:row>23</xdr:row>
      <xdr:rowOff>38100</xdr:rowOff>
    </xdr:from>
    <xdr:to>
      <xdr:col>4</xdr:col>
      <xdr:colOff>219075</xdr:colOff>
      <xdr:row>26</xdr:row>
      <xdr:rowOff>85725</xdr:rowOff>
    </xdr:to>
    <xdr:sp>
      <xdr:nvSpPr>
        <xdr:cNvPr id="31" name="Line 32"/>
        <xdr:cNvSpPr>
          <a:spLocks/>
        </xdr:cNvSpPr>
      </xdr:nvSpPr>
      <xdr:spPr>
        <a:xfrm>
          <a:off x="4429125" y="4162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123825</xdr:rowOff>
    </xdr:from>
    <xdr:to>
      <xdr:col>4</xdr:col>
      <xdr:colOff>285750</xdr:colOff>
      <xdr:row>23</xdr:row>
      <xdr:rowOff>123825</xdr:rowOff>
    </xdr:to>
    <xdr:sp>
      <xdr:nvSpPr>
        <xdr:cNvPr id="32" name="Line 33"/>
        <xdr:cNvSpPr>
          <a:spLocks/>
        </xdr:cNvSpPr>
      </xdr:nvSpPr>
      <xdr:spPr>
        <a:xfrm>
          <a:off x="4371975" y="4248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57150</xdr:rowOff>
    </xdr:from>
    <xdr:to>
      <xdr:col>4</xdr:col>
      <xdr:colOff>314325</xdr:colOff>
      <xdr:row>26</xdr:row>
      <xdr:rowOff>57150</xdr:rowOff>
    </xdr:to>
    <xdr:sp>
      <xdr:nvSpPr>
        <xdr:cNvPr id="33" name="Line 34"/>
        <xdr:cNvSpPr>
          <a:spLocks/>
        </xdr:cNvSpPr>
      </xdr:nvSpPr>
      <xdr:spPr>
        <a:xfrm>
          <a:off x="4371975" y="4667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24</xdr:row>
      <xdr:rowOff>57150</xdr:rowOff>
    </xdr:from>
    <xdr:to>
      <xdr:col>5</xdr:col>
      <xdr:colOff>209550</xdr:colOff>
      <xdr:row>25</xdr:row>
      <xdr:rowOff>133350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4657725" y="4343400"/>
          <a:ext cx="5238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0,50</a:t>
          </a:r>
        </a:p>
      </xdr:txBody>
    </xdr:sp>
    <xdr:clientData/>
  </xdr:twoCellAnchor>
  <xdr:twoCellAnchor>
    <xdr:from>
      <xdr:col>2</xdr:col>
      <xdr:colOff>114300</xdr:colOff>
      <xdr:row>17</xdr:row>
      <xdr:rowOff>19050</xdr:rowOff>
    </xdr:from>
    <xdr:to>
      <xdr:col>3</xdr:col>
      <xdr:colOff>552450</xdr:colOff>
      <xdr:row>19</xdr:row>
      <xdr:rowOff>19050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2800350" y="3171825"/>
          <a:ext cx="1200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longueur 10 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1" sqref="A11:A15"/>
    </sheetView>
  </sheetViews>
  <sheetFormatPr defaultColWidth="11.421875" defaultRowHeight="12.75"/>
  <cols>
    <col min="1" max="1" width="83.8515625" style="0" customWidth="1"/>
  </cols>
  <sheetData>
    <row r="1" ht="41.25" thickTop="1">
      <c r="A1" s="40" t="s">
        <v>103</v>
      </c>
    </row>
    <row r="2" ht="18">
      <c r="A2" s="42" t="s">
        <v>125</v>
      </c>
    </row>
    <row r="3" ht="18">
      <c r="A3" s="42" t="s">
        <v>126</v>
      </c>
    </row>
    <row r="4" ht="18.75" thickBot="1">
      <c r="A4" s="43" t="s">
        <v>127</v>
      </c>
    </row>
    <row r="5" ht="18.75" thickTop="1">
      <c r="A5" s="44"/>
    </row>
    <row r="6" ht="57.75" customHeight="1">
      <c r="A6" s="48" t="s">
        <v>133</v>
      </c>
    </row>
    <row r="7" ht="18">
      <c r="A7" s="44" t="s">
        <v>128</v>
      </c>
    </row>
    <row r="8" ht="18">
      <c r="A8" s="44"/>
    </row>
    <row r="9" ht="18.75" thickBot="1">
      <c r="A9" s="45" t="s">
        <v>129</v>
      </c>
    </row>
    <row r="10" ht="19.5" thickBot="1" thickTop="1">
      <c r="A10" s="47"/>
    </row>
    <row r="11" ht="33" customHeight="1" thickBot="1" thickTop="1">
      <c r="A11" s="46" t="s">
        <v>132</v>
      </c>
    </row>
    <row r="12" ht="31.5" customHeight="1" thickBot="1" thickTop="1">
      <c r="A12" s="46"/>
    </row>
    <row r="13" ht="17.25" thickBot="1" thickTop="1">
      <c r="A13" s="46" t="s">
        <v>130</v>
      </c>
    </row>
    <row r="14" ht="17.25" thickBot="1" thickTop="1">
      <c r="A14" s="46"/>
    </row>
    <row r="15" ht="51" customHeight="1" thickBot="1" thickTop="1">
      <c r="A15" s="46" t="s">
        <v>131</v>
      </c>
    </row>
    <row r="16" ht="16.5" thickTop="1">
      <c r="A16" s="41"/>
    </row>
    <row r="17" ht="15.75">
      <c r="A17" s="41"/>
    </row>
  </sheetData>
  <printOptions/>
  <pageMargins left="0.75" right="0.75" top="1" bottom="1" header="0.4921259845" footer="0.4921259845"/>
  <pageSetup horizontalDpi="600" verticalDpi="600" orientation="portrait" paperSize="9" scale="135" r:id="rId1"/>
  <headerFooter alignWithMargins="0">
    <oddHeader>&amp;C&amp;F&amp;R&amp;A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0">
      <selection activeCell="J21" sqref="J21"/>
    </sheetView>
  </sheetViews>
  <sheetFormatPr defaultColWidth="11.421875" defaultRowHeight="12.75"/>
  <cols>
    <col min="1" max="1" width="15.140625" style="0" customWidth="1"/>
    <col min="2" max="2" width="21.57421875" style="0" bestFit="1" customWidth="1"/>
    <col min="3" max="3" width="19.7109375" style="0" bestFit="1" customWidth="1"/>
    <col min="4" max="4" width="15.28125" style="0" bestFit="1" customWidth="1"/>
    <col min="5" max="5" width="19.7109375" style="28" bestFit="1" customWidth="1"/>
    <col min="6" max="6" width="19.7109375" style="0" bestFit="1" customWidth="1"/>
    <col min="7" max="7" width="19.7109375" style="0" hidden="1" customWidth="1"/>
    <col min="8" max="8" width="19.7109375" style="0" bestFit="1" customWidth="1"/>
  </cols>
  <sheetData>
    <row r="2" spans="1:9" ht="20.25">
      <c r="A2" s="30" t="s">
        <v>86</v>
      </c>
      <c r="B2" s="30"/>
      <c r="C2" s="31"/>
      <c r="D2" s="31"/>
      <c r="E2" s="31"/>
      <c r="F2" s="31"/>
      <c r="G2" s="31"/>
      <c r="H2" s="31"/>
      <c r="I2" s="31"/>
    </row>
    <row r="3" spans="1:9" ht="40.5">
      <c r="A3" s="30"/>
      <c r="B3" s="30"/>
      <c r="C3" s="31"/>
      <c r="D3" s="35" t="s">
        <v>112</v>
      </c>
      <c r="E3" s="31" t="s">
        <v>109</v>
      </c>
      <c r="F3" s="31" t="s">
        <v>110</v>
      </c>
      <c r="G3" s="31"/>
      <c r="H3" s="35" t="s">
        <v>111</v>
      </c>
      <c r="I3" s="31"/>
    </row>
    <row r="4" spans="1:9" ht="20.25">
      <c r="A4" s="30" t="s">
        <v>87</v>
      </c>
      <c r="B4" s="30" t="s">
        <v>88</v>
      </c>
      <c r="C4" s="31" t="s">
        <v>89</v>
      </c>
      <c r="D4" s="36" t="s">
        <v>113</v>
      </c>
      <c r="E4" s="31"/>
      <c r="F4" s="31"/>
      <c r="G4" s="31"/>
      <c r="H4" s="31">
        <v>13.333333333333334</v>
      </c>
      <c r="I4" s="31"/>
    </row>
    <row r="5" spans="1:9" ht="20.25">
      <c r="A5" s="30"/>
      <c r="B5" s="30" t="s">
        <v>91</v>
      </c>
      <c r="C5" s="31">
        <v>1500</v>
      </c>
      <c r="D5" s="31">
        <v>75</v>
      </c>
      <c r="E5" s="31"/>
      <c r="F5" s="31">
        <v>1.4</v>
      </c>
      <c r="G5" s="31">
        <f>+F5*C5</f>
        <v>2100</v>
      </c>
      <c r="H5" s="31">
        <f>+H4*D5+C5</f>
        <v>2500</v>
      </c>
      <c r="I5" s="31"/>
    </row>
    <row r="6" spans="1:9" ht="20.25">
      <c r="A6" s="30"/>
      <c r="B6" s="30" t="s">
        <v>92</v>
      </c>
      <c r="C6" s="31">
        <v>15000</v>
      </c>
      <c r="D6" s="31"/>
      <c r="E6" s="31"/>
      <c r="F6" s="31">
        <v>1.1428571428571428</v>
      </c>
      <c r="G6" s="31">
        <f>+F6*C6</f>
        <v>17142.85714285714</v>
      </c>
      <c r="H6" s="31">
        <f>+C6</f>
        <v>15000</v>
      </c>
      <c r="I6" s="31"/>
    </row>
    <row r="7" spans="1:9" ht="20.25">
      <c r="A7" s="30"/>
      <c r="B7" s="30" t="s">
        <v>93</v>
      </c>
      <c r="C7" s="31">
        <v>750</v>
      </c>
      <c r="D7" s="31"/>
      <c r="E7" s="31"/>
      <c r="F7" s="31">
        <v>1.2666666666666666</v>
      </c>
      <c r="G7" s="31">
        <f>+F7*C7</f>
        <v>950</v>
      </c>
      <c r="H7" s="31">
        <f>+C7</f>
        <v>750</v>
      </c>
      <c r="I7" s="31"/>
    </row>
    <row r="8" spans="1:9" ht="20.25">
      <c r="A8" s="30"/>
      <c r="B8" s="30" t="s">
        <v>94</v>
      </c>
      <c r="C8" s="31">
        <v>3180</v>
      </c>
      <c r="D8" s="31"/>
      <c r="E8" s="31"/>
      <c r="F8" s="31">
        <v>1.3333333333333333</v>
      </c>
      <c r="G8" s="31">
        <f>+F8*C8</f>
        <v>4240</v>
      </c>
      <c r="H8" s="31">
        <f>+C8</f>
        <v>3180</v>
      </c>
      <c r="I8" s="31"/>
    </row>
    <row r="9" spans="1:9" ht="20.25">
      <c r="A9" s="30"/>
      <c r="B9" s="30" t="s">
        <v>107</v>
      </c>
      <c r="C9" s="31">
        <f>SUM(C5:C8)</f>
        <v>20430</v>
      </c>
      <c r="D9" s="31"/>
      <c r="E9" s="31">
        <v>1.28</v>
      </c>
      <c r="F9" s="31"/>
      <c r="G9" s="31"/>
      <c r="H9" s="31"/>
      <c r="I9" s="31"/>
    </row>
    <row r="10" spans="1:9" ht="20.25">
      <c r="A10" s="30"/>
      <c r="B10" s="30" t="s">
        <v>108</v>
      </c>
      <c r="C10" s="31"/>
      <c r="D10" s="31"/>
      <c r="E10" s="31">
        <f>+E9*C9</f>
        <v>26150.4</v>
      </c>
      <c r="F10" s="31">
        <f>SUM(G5:G8)</f>
        <v>24432.85714285714</v>
      </c>
      <c r="G10" s="31"/>
      <c r="H10" s="31">
        <f>SUM(H4:H9)</f>
        <v>21443.333333333332</v>
      </c>
      <c r="I10" s="31"/>
    </row>
    <row r="11" spans="1:9" ht="20.25">
      <c r="A11" s="30"/>
      <c r="B11" s="30" t="s">
        <v>114</v>
      </c>
      <c r="C11" s="31"/>
      <c r="D11" s="31"/>
      <c r="E11" s="31">
        <f>+E10-$C$9</f>
        <v>5720.4000000000015</v>
      </c>
      <c r="F11" s="31">
        <f>+F10-$C$9</f>
        <v>4002.8571428571413</v>
      </c>
      <c r="G11" s="31">
        <f>+G10-$C$9</f>
        <v>-20430</v>
      </c>
      <c r="H11" s="31">
        <f>+H10-$C$9</f>
        <v>1013.3333333333321</v>
      </c>
      <c r="I11" s="31"/>
    </row>
    <row r="12" spans="1:9" ht="20.25">
      <c r="A12" s="30" t="s">
        <v>115</v>
      </c>
      <c r="B12" s="30"/>
      <c r="C12" s="31"/>
      <c r="D12" s="31"/>
      <c r="E12" s="31"/>
      <c r="F12" s="31"/>
      <c r="G12" s="31"/>
      <c r="H12" s="31"/>
      <c r="I12" s="31"/>
    </row>
    <row r="13" spans="1:9" ht="20.25">
      <c r="A13" s="30"/>
      <c r="B13" s="31">
        <v>200000</v>
      </c>
      <c r="C13" s="31"/>
      <c r="D13" s="31"/>
      <c r="E13" s="37">
        <f>+B13/E11</f>
        <v>34.96259002866932</v>
      </c>
      <c r="F13" s="37">
        <f>+B13/F11</f>
        <v>49.964311206281245</v>
      </c>
      <c r="G13" s="31">
        <f>+D13/G11</f>
        <v>0</v>
      </c>
      <c r="H13" s="37">
        <f>+B13/H11</f>
        <v>197.36842105263182</v>
      </c>
      <c r="I13" s="31"/>
    </row>
    <row r="14" spans="1:9" ht="20.25">
      <c r="A14" s="30" t="s">
        <v>116</v>
      </c>
      <c r="B14" s="38" t="s">
        <v>117</v>
      </c>
      <c r="C14" s="31">
        <v>15000</v>
      </c>
      <c r="D14" s="31"/>
      <c r="E14" s="37">
        <f>+E13*$D$5</f>
        <v>2622.1942521501987</v>
      </c>
      <c r="F14" s="37">
        <f>+F13*$D$5</f>
        <v>3747.323340471093</v>
      </c>
      <c r="G14" s="37">
        <f>+G13*$D$5</f>
        <v>0</v>
      </c>
      <c r="H14" s="37">
        <f>+H13*$D$5</f>
        <v>14802.631578947387</v>
      </c>
      <c r="I14" s="31"/>
    </row>
    <row r="15" spans="1:9" ht="20.25">
      <c r="A15" s="30"/>
      <c r="B15" s="38"/>
      <c r="C15" s="31"/>
      <c r="D15" s="31"/>
      <c r="E15" s="37"/>
      <c r="F15" s="37"/>
      <c r="G15" s="37"/>
      <c r="H15" s="37"/>
      <c r="I15" s="31"/>
    </row>
    <row r="16" spans="1:9" ht="20.25">
      <c r="A16" s="30"/>
      <c r="B16" s="38"/>
      <c r="C16" s="31"/>
      <c r="D16" s="31"/>
      <c r="E16" s="37"/>
      <c r="F16" s="37"/>
      <c r="G16" s="37"/>
      <c r="H16" s="37"/>
      <c r="I16" s="31"/>
    </row>
    <row r="17" spans="1:9" ht="20.25">
      <c r="A17" s="30" t="s">
        <v>96</v>
      </c>
      <c r="B17" s="30" t="s">
        <v>88</v>
      </c>
      <c r="C17" s="31" t="s">
        <v>89</v>
      </c>
      <c r="D17" s="31"/>
      <c r="E17" s="31"/>
      <c r="F17" s="31"/>
      <c r="G17" s="31"/>
      <c r="H17" s="31">
        <v>13.33</v>
      </c>
      <c r="I17" s="31"/>
    </row>
    <row r="18" spans="1:9" ht="20.25">
      <c r="A18" s="30"/>
      <c r="B18" s="30" t="s">
        <v>91</v>
      </c>
      <c r="C18" s="31">
        <v>15000</v>
      </c>
      <c r="D18" s="31">
        <f>+C18/20</f>
        <v>750</v>
      </c>
      <c r="E18" s="31"/>
      <c r="F18" s="31">
        <v>1.4</v>
      </c>
      <c r="G18" s="31">
        <f>+F18*C18</f>
        <v>21000</v>
      </c>
      <c r="H18" s="31">
        <f>+H17*D18+C18</f>
        <v>24997.5</v>
      </c>
      <c r="I18" s="31"/>
    </row>
    <row r="19" spans="1:9" ht="20.25">
      <c r="A19" s="30"/>
      <c r="B19" s="30" t="s">
        <v>92</v>
      </c>
      <c r="C19" s="31">
        <v>1000</v>
      </c>
      <c r="D19" s="31"/>
      <c r="E19" s="31"/>
      <c r="F19" s="31">
        <v>1.1428571428571428</v>
      </c>
      <c r="G19" s="31">
        <f>+F19*C19</f>
        <v>1142.857142857143</v>
      </c>
      <c r="H19" s="31">
        <f>+C19</f>
        <v>1000</v>
      </c>
      <c r="I19" s="31"/>
    </row>
    <row r="20" spans="1:9" ht="20.25">
      <c r="A20" s="30"/>
      <c r="B20" s="30" t="s">
        <v>93</v>
      </c>
      <c r="C20" s="31">
        <v>2750</v>
      </c>
      <c r="D20" s="31"/>
      <c r="E20" s="31"/>
      <c r="F20" s="31">
        <v>1.2666666666666666</v>
      </c>
      <c r="G20" s="31">
        <f>+F20*C20</f>
        <v>3483.333333333333</v>
      </c>
      <c r="H20" s="31">
        <f>+C20</f>
        <v>2750</v>
      </c>
      <c r="I20" s="31"/>
    </row>
    <row r="21" spans="1:9" ht="20.25">
      <c r="A21" s="30"/>
      <c r="B21" s="30" t="s">
        <v>94</v>
      </c>
      <c r="C21" s="31">
        <v>1680</v>
      </c>
      <c r="D21" s="31"/>
      <c r="E21" s="31"/>
      <c r="F21" s="31">
        <v>1.3333333333333333</v>
      </c>
      <c r="G21" s="31">
        <f>+F21*C21</f>
        <v>2240</v>
      </c>
      <c r="H21" s="31">
        <f>+C21</f>
        <v>1680</v>
      </c>
      <c r="I21" s="31"/>
    </row>
    <row r="22" spans="1:9" ht="20.25">
      <c r="A22" s="30"/>
      <c r="B22" s="30" t="s">
        <v>107</v>
      </c>
      <c r="C22" s="31">
        <f>SUM(C18:C21)</f>
        <v>20430</v>
      </c>
      <c r="D22" s="31"/>
      <c r="E22" s="31">
        <v>1.28</v>
      </c>
      <c r="F22" s="31"/>
      <c r="G22" s="31"/>
      <c r="H22" s="31"/>
      <c r="I22" s="31"/>
    </row>
    <row r="23" spans="1:9" ht="20.25">
      <c r="A23" s="30"/>
      <c r="B23" s="30" t="s">
        <v>108</v>
      </c>
      <c r="C23" s="31"/>
      <c r="D23" s="31"/>
      <c r="E23" s="31">
        <f>+E22*C22</f>
        <v>26150.4</v>
      </c>
      <c r="F23" s="31">
        <f>SUM(G18:G21)</f>
        <v>27866.190476190473</v>
      </c>
      <c r="G23" s="31"/>
      <c r="H23" s="31">
        <f>SUM(H17:H22)</f>
        <v>30440.83</v>
      </c>
      <c r="I23" s="31"/>
    </row>
    <row r="24" spans="1:9" ht="20.25">
      <c r="A24" s="30"/>
      <c r="B24" s="30" t="s">
        <v>114</v>
      </c>
      <c r="C24" s="31"/>
      <c r="D24" s="31"/>
      <c r="E24" s="31">
        <f>+E23-$C$9</f>
        <v>5720.4000000000015</v>
      </c>
      <c r="F24" s="31">
        <f>+F23-$C$9</f>
        <v>7436.190476190473</v>
      </c>
      <c r="G24" s="31">
        <f>+G23-$C$9</f>
        <v>-20430</v>
      </c>
      <c r="H24" s="31">
        <f>+H23-$C$9</f>
        <v>10010.830000000002</v>
      </c>
      <c r="I24" s="31"/>
    </row>
    <row r="25" spans="1:9" ht="20.25">
      <c r="A25" s="30" t="s">
        <v>115</v>
      </c>
      <c r="B25" s="30"/>
      <c r="C25" s="31"/>
      <c r="D25" s="31"/>
      <c r="E25" s="31"/>
      <c r="F25" s="31"/>
      <c r="G25" s="31"/>
      <c r="H25" s="31"/>
      <c r="I25" s="31"/>
    </row>
    <row r="26" spans="1:9" ht="20.25">
      <c r="A26" s="30"/>
      <c r="B26" s="31">
        <v>200000</v>
      </c>
      <c r="C26" s="31"/>
      <c r="D26" s="31"/>
      <c r="E26" s="37">
        <f>+B26/E24</f>
        <v>34.96259002866932</v>
      </c>
      <c r="F26" s="37">
        <f>+B26/F24</f>
        <v>26.8954918032787</v>
      </c>
      <c r="G26" s="31" t="e">
        <f>+D26/G23</f>
        <v>#DIV/0!</v>
      </c>
      <c r="H26" s="37">
        <f>+B26/H24</f>
        <v>19.978363432402706</v>
      </c>
      <c r="I26" s="31"/>
    </row>
    <row r="27" spans="1:9" ht="20.25">
      <c r="A27" s="30" t="s">
        <v>116</v>
      </c>
      <c r="B27" s="38" t="s">
        <v>117</v>
      </c>
      <c r="C27" s="31">
        <v>15000</v>
      </c>
      <c r="D27" s="31"/>
      <c r="E27" s="37">
        <f>+E26*$D$18</f>
        <v>26221.942521501987</v>
      </c>
      <c r="F27" s="37">
        <f>+F26*$D$18</f>
        <v>20171.618852459025</v>
      </c>
      <c r="G27" s="37" t="e">
        <f>+G26*$D$18</f>
        <v>#DIV/0!</v>
      </c>
      <c r="H27" s="37">
        <f>+H26*$D$18</f>
        <v>14983.77257430203</v>
      </c>
      <c r="I27" s="31"/>
    </row>
  </sheetData>
  <printOptions gridLines="1"/>
  <pageMargins left="0.75" right="0.75" top="0.31" bottom="0.14" header="0.15" footer="0.13"/>
  <pageSetup orientation="landscape" paperSize="9" r:id="rId1"/>
  <headerFooter alignWithMargins="0">
    <oddHeader>&amp;L&amp;D&amp;C&amp;F&amp;A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G24" sqref="G24"/>
    </sheetView>
  </sheetViews>
  <sheetFormatPr defaultColWidth="11.421875" defaultRowHeight="12.75"/>
  <cols>
    <col min="2" max="2" width="28.8515625" style="0" bestFit="1" customWidth="1"/>
  </cols>
  <sheetData>
    <row r="1" spans="1:6" ht="44.25" customHeight="1">
      <c r="A1" s="66" t="s">
        <v>134</v>
      </c>
      <c r="B1" s="66"/>
      <c r="C1" s="66"/>
      <c r="D1" s="66"/>
      <c r="E1" s="66"/>
      <c r="F1" s="66"/>
    </row>
    <row r="2" spans="1:6" ht="12.75">
      <c r="A2" s="3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4" t="s">
        <v>8</v>
      </c>
    </row>
    <row r="3" spans="1:6" ht="12.75">
      <c r="A3">
        <v>11001</v>
      </c>
      <c r="B3" t="s">
        <v>17</v>
      </c>
      <c r="C3" t="s">
        <v>14</v>
      </c>
      <c r="E3" s="2">
        <v>0.5</v>
      </c>
      <c r="F3" s="2">
        <v>17.5</v>
      </c>
    </row>
    <row r="4" spans="1:6" ht="12.75">
      <c r="A4">
        <v>101460</v>
      </c>
      <c r="B4" t="s">
        <v>18</v>
      </c>
      <c r="C4" t="s">
        <v>19</v>
      </c>
      <c r="E4" s="7" t="s">
        <v>123</v>
      </c>
      <c r="F4" s="2">
        <v>1</v>
      </c>
    </row>
    <row r="5" spans="1:6" ht="12.75">
      <c r="A5">
        <v>101480</v>
      </c>
      <c r="B5" t="s">
        <v>20</v>
      </c>
      <c r="C5" t="s">
        <v>19</v>
      </c>
      <c r="E5" s="7" t="s">
        <v>123</v>
      </c>
      <c r="F5" s="2">
        <v>1</v>
      </c>
    </row>
    <row r="6" spans="1:6" ht="12.75">
      <c r="A6">
        <v>305004</v>
      </c>
      <c r="B6" t="s">
        <v>21</v>
      </c>
      <c r="C6" t="s">
        <v>13</v>
      </c>
      <c r="E6" s="2">
        <v>1</v>
      </c>
      <c r="F6" s="2">
        <v>80</v>
      </c>
    </row>
    <row r="7" spans="1:6" ht="12.75">
      <c r="A7">
        <v>301100</v>
      </c>
      <c r="B7" t="s">
        <v>124</v>
      </c>
      <c r="C7" t="s">
        <v>5</v>
      </c>
      <c r="E7" s="7" t="s">
        <v>123</v>
      </c>
      <c r="F7" s="2">
        <v>0.8</v>
      </c>
    </row>
    <row r="8" spans="1:6" ht="12.75">
      <c r="A8">
        <v>601090</v>
      </c>
      <c r="B8" t="s">
        <v>25</v>
      </c>
      <c r="C8" t="s">
        <v>26</v>
      </c>
      <c r="E8" s="2">
        <v>0.05</v>
      </c>
      <c r="F8" s="2">
        <v>6</v>
      </c>
    </row>
    <row r="9" spans="1:6" ht="12.75">
      <c r="A9">
        <v>601120</v>
      </c>
      <c r="B9" t="s">
        <v>27</v>
      </c>
      <c r="C9" t="s">
        <v>26</v>
      </c>
      <c r="E9" s="2">
        <v>0.05</v>
      </c>
      <c r="F9" s="2">
        <v>18</v>
      </c>
    </row>
    <row r="10" spans="1:6" ht="12.75">
      <c r="A10">
        <v>611010</v>
      </c>
      <c r="B10" t="s">
        <v>28</v>
      </c>
      <c r="C10" t="s">
        <v>5</v>
      </c>
      <c r="E10" s="2">
        <v>0.35</v>
      </c>
      <c r="F10" s="2">
        <v>6.5</v>
      </c>
    </row>
    <row r="11" spans="1:6" ht="12.75">
      <c r="A11">
        <v>81230</v>
      </c>
      <c r="B11" t="s">
        <v>29</v>
      </c>
      <c r="C11" t="s">
        <v>14</v>
      </c>
      <c r="E11" s="2">
        <v>0.25</v>
      </c>
      <c r="F11" s="2">
        <v>7</v>
      </c>
    </row>
    <row r="12" spans="5:6" ht="12.75">
      <c r="E12" s="2"/>
      <c r="F12" s="2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7">
      <selection activeCell="K26" sqref="K26"/>
    </sheetView>
  </sheetViews>
  <sheetFormatPr defaultColWidth="11.421875" defaultRowHeight="12.75"/>
  <cols>
    <col min="1" max="1" width="3.57421875" style="0" bestFit="1" customWidth="1"/>
    <col min="2" max="2" width="4.140625" style="0" customWidth="1"/>
    <col min="3" max="3" width="7.00390625" style="0" customWidth="1"/>
    <col min="4" max="4" width="29.140625" style="0" customWidth="1"/>
    <col min="5" max="5" width="3.57421875" style="0" customWidth="1"/>
    <col min="6" max="6" width="6.7109375" style="2" customWidth="1"/>
    <col min="7" max="7" width="11.421875" style="2" bestFit="1" customWidth="1"/>
    <col min="8" max="8" width="12.7109375" style="2" customWidth="1"/>
    <col min="9" max="9" width="13.00390625" style="2" customWidth="1"/>
    <col min="10" max="10" width="17.28125" style="2" customWidth="1"/>
    <col min="11" max="11" width="15.8515625" style="2" bestFit="1" customWidth="1"/>
    <col min="12" max="12" width="11.8515625" style="2" customWidth="1"/>
  </cols>
  <sheetData>
    <row r="1" spans="3:4" ht="12.75">
      <c r="C1" s="1" t="s">
        <v>42</v>
      </c>
      <c r="D1" s="1"/>
    </row>
    <row r="2" spans="3:4" ht="12.75">
      <c r="C2" s="1"/>
      <c r="D2" s="1"/>
    </row>
    <row r="3" spans="3:12" s="1" customFormat="1" ht="25.5"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136</v>
      </c>
      <c r="J3" s="16" t="s">
        <v>47</v>
      </c>
      <c r="K3" s="16" t="s">
        <v>48</v>
      </c>
      <c r="L3" s="16" t="s">
        <v>12</v>
      </c>
    </row>
    <row r="4" spans="1:12" s="17" customFormat="1" ht="25.5">
      <c r="A4" s="14" t="s">
        <v>43</v>
      </c>
      <c r="B4" s="14" t="s">
        <v>44</v>
      </c>
      <c r="C4"/>
      <c r="D4"/>
      <c r="E4"/>
      <c r="F4"/>
      <c r="G4" s="2"/>
      <c r="H4" s="2"/>
      <c r="I4" s="19"/>
      <c r="J4" s="2"/>
      <c r="K4" s="2"/>
      <c r="L4" s="2"/>
    </row>
    <row r="5" spans="3:9" ht="25.5">
      <c r="C5" s="1">
        <v>13020</v>
      </c>
      <c r="D5" s="5" t="s">
        <v>16</v>
      </c>
      <c r="E5" s="1" t="s">
        <v>13</v>
      </c>
      <c r="F5" s="1"/>
      <c r="G5" s="19" t="s">
        <v>50</v>
      </c>
      <c r="H5" s="6"/>
      <c r="I5" s="19"/>
    </row>
    <row r="6" spans="3:12" s="1" customFormat="1" ht="12.75">
      <c r="C6"/>
      <c r="D6"/>
      <c r="E6"/>
      <c r="F6"/>
      <c r="J6" s="2"/>
      <c r="K6" s="2"/>
      <c r="L6" s="6"/>
    </row>
    <row r="7" spans="3:10" ht="12.75">
      <c r="C7">
        <v>11001</v>
      </c>
      <c r="D7" t="s">
        <v>17</v>
      </c>
      <c r="E7" t="s">
        <v>14</v>
      </c>
      <c r="F7" t="s">
        <v>139</v>
      </c>
      <c r="G7" s="19" t="s">
        <v>51</v>
      </c>
      <c r="H7" s="19" t="s">
        <v>52</v>
      </c>
      <c r="I7" s="19" t="s">
        <v>135</v>
      </c>
      <c r="J7" s="7" t="s">
        <v>140</v>
      </c>
    </row>
    <row r="8" spans="3:10" ht="12.75">
      <c r="C8">
        <v>101460</v>
      </c>
      <c r="D8" t="s">
        <v>18</v>
      </c>
      <c r="E8" t="s">
        <v>19</v>
      </c>
      <c r="F8"/>
      <c r="G8" s="19" t="s">
        <v>51</v>
      </c>
      <c r="H8" s="19" t="s">
        <v>52</v>
      </c>
      <c r="I8" s="19" t="s">
        <v>135</v>
      </c>
      <c r="J8" s="7" t="s">
        <v>140</v>
      </c>
    </row>
    <row r="9" spans="3:10" ht="12.75">
      <c r="C9">
        <v>101480</v>
      </c>
      <c r="D9" t="s">
        <v>20</v>
      </c>
      <c r="E9" t="s">
        <v>19</v>
      </c>
      <c r="F9"/>
      <c r="G9" s="19" t="s">
        <v>51</v>
      </c>
      <c r="H9" s="19" t="s">
        <v>52</v>
      </c>
      <c r="I9" s="19" t="s">
        <v>135</v>
      </c>
      <c r="J9" s="7" t="s">
        <v>140</v>
      </c>
    </row>
    <row r="10" spans="3:10" ht="12.75">
      <c r="C10">
        <v>305004</v>
      </c>
      <c r="D10" t="s">
        <v>21</v>
      </c>
      <c r="E10" t="s">
        <v>13</v>
      </c>
      <c r="F10"/>
      <c r="G10" s="19" t="s">
        <v>51</v>
      </c>
      <c r="H10" s="19" t="s">
        <v>52</v>
      </c>
      <c r="I10" s="19" t="s">
        <v>135</v>
      </c>
      <c r="J10" s="7" t="s">
        <v>140</v>
      </c>
    </row>
    <row r="11" spans="4:9" ht="12.75">
      <c r="D11" t="s">
        <v>49</v>
      </c>
      <c r="F11"/>
      <c r="I11" s="19" t="s">
        <v>145</v>
      </c>
    </row>
    <row r="12" ht="12.75">
      <c r="F12"/>
    </row>
    <row r="13" spans="3:12" ht="12.75">
      <c r="C13" s="3"/>
      <c r="D13" s="3" t="s">
        <v>15</v>
      </c>
      <c r="E13" s="3"/>
      <c r="G13" s="19" t="s">
        <v>50</v>
      </c>
      <c r="H13" s="19" t="s">
        <v>54</v>
      </c>
      <c r="I13" s="19" t="s">
        <v>55</v>
      </c>
      <c r="J13" s="7" t="s">
        <v>142</v>
      </c>
      <c r="K13" s="7" t="s">
        <v>143</v>
      </c>
      <c r="L13" s="7" t="s">
        <v>144</v>
      </c>
    </row>
    <row r="14" ht="12.75">
      <c r="G14"/>
    </row>
    <row r="15" spans="3:8" ht="12.75">
      <c r="C15" s="19" t="s">
        <v>51</v>
      </c>
      <c r="D15" t="s">
        <v>56</v>
      </c>
      <c r="G15"/>
      <c r="H15" s="7" t="s">
        <v>57</v>
      </c>
    </row>
    <row r="16" spans="3:12" s="1" customFormat="1" ht="12.75">
      <c r="C16" s="19" t="s">
        <v>58</v>
      </c>
      <c r="D16" t="s">
        <v>59</v>
      </c>
      <c r="E16"/>
      <c r="F16" s="2"/>
      <c r="G16"/>
      <c r="H16" s="7" t="s">
        <v>60</v>
      </c>
      <c r="I16" s="2"/>
      <c r="J16" s="2"/>
      <c r="K16" s="2"/>
      <c r="L16" s="2"/>
    </row>
    <row r="17" spans="1:12" s="17" customFormat="1" ht="12.75">
      <c r="A17" s="14"/>
      <c r="B17" s="14"/>
      <c r="C17" s="19" t="s">
        <v>53</v>
      </c>
      <c r="D17" s="20" t="s">
        <v>61</v>
      </c>
      <c r="E17"/>
      <c r="F17" s="2"/>
      <c r="G17"/>
      <c r="H17" s="2"/>
      <c r="I17" s="2"/>
      <c r="J17" s="2"/>
      <c r="K17" s="2"/>
      <c r="L17" s="2"/>
    </row>
    <row r="18" spans="3:7" ht="12.75">
      <c r="C18" s="19" t="s">
        <v>50</v>
      </c>
      <c r="D18" t="s">
        <v>62</v>
      </c>
      <c r="G18"/>
    </row>
    <row r="19" spans="3:12" s="1" customFormat="1" ht="12.75">
      <c r="C19" s="19" t="s">
        <v>54</v>
      </c>
      <c r="D19" t="s">
        <v>63</v>
      </c>
      <c r="E19"/>
      <c r="F19" s="2"/>
      <c r="G19" s="67" t="s">
        <v>137</v>
      </c>
      <c r="H19" s="67"/>
      <c r="I19" s="67"/>
      <c r="J19" s="2"/>
      <c r="K19" s="2"/>
      <c r="L19" s="2"/>
    </row>
    <row r="20" spans="3:7" ht="12.75">
      <c r="C20" s="19" t="s">
        <v>55</v>
      </c>
      <c r="D20" t="s">
        <v>64</v>
      </c>
      <c r="G20"/>
    </row>
    <row r="21" spans="3:4" ht="12.75">
      <c r="C21" s="1"/>
      <c r="D21" s="1"/>
    </row>
    <row r="22" spans="3:9" ht="12.75">
      <c r="C22" s="68" t="s">
        <v>138</v>
      </c>
      <c r="D22" s="68"/>
      <c r="E22" s="68"/>
      <c r="F22" s="68"/>
      <c r="G22" s="68"/>
      <c r="H22" s="68"/>
      <c r="I22" s="68"/>
    </row>
    <row r="23" spans="3:9" ht="12.75">
      <c r="C23" s="68"/>
      <c r="D23" s="68"/>
      <c r="E23" s="68"/>
      <c r="F23" s="68"/>
      <c r="G23" s="68"/>
      <c r="H23" s="68"/>
      <c r="I23" s="68"/>
    </row>
    <row r="24" spans="3:9" ht="12.75">
      <c r="C24" s="68"/>
      <c r="D24" s="68"/>
      <c r="E24" s="68"/>
      <c r="F24" s="68"/>
      <c r="G24" s="68"/>
      <c r="H24" s="68"/>
      <c r="I24" s="68"/>
    </row>
    <row r="25" spans="3:9" ht="12.75">
      <c r="C25" s="49"/>
      <c r="D25" s="49"/>
      <c r="E25" s="49"/>
      <c r="F25" s="49"/>
      <c r="G25" s="49"/>
      <c r="H25" s="49"/>
      <c r="I25" s="49"/>
    </row>
    <row r="26" spans="3:9" ht="12.75">
      <c r="C26" s="68" t="s">
        <v>141</v>
      </c>
      <c r="D26" s="69"/>
      <c r="E26" s="69"/>
      <c r="F26" s="69"/>
      <c r="G26" s="69"/>
      <c r="H26" s="69"/>
      <c r="I26" s="69"/>
    </row>
    <row r="27" spans="3:9" ht="12.75">
      <c r="C27" s="69"/>
      <c r="D27" s="69"/>
      <c r="E27" s="69"/>
      <c r="F27" s="69"/>
      <c r="G27" s="69"/>
      <c r="H27" s="69"/>
      <c r="I27" s="69"/>
    </row>
    <row r="28" spans="3:9" ht="12.75">
      <c r="C28" s="69"/>
      <c r="D28" s="69"/>
      <c r="E28" s="69"/>
      <c r="F28" s="69"/>
      <c r="G28" s="69"/>
      <c r="H28" s="69"/>
      <c r="I28" s="69"/>
    </row>
    <row r="30" spans="1:12" s="17" customFormat="1" ht="25.5">
      <c r="A30" s="14" t="s">
        <v>43</v>
      </c>
      <c r="B30" s="14" t="s">
        <v>44</v>
      </c>
      <c r="C30" s="15" t="s">
        <v>3</v>
      </c>
      <c r="D30" s="15" t="s">
        <v>4</v>
      </c>
      <c r="E30" s="15" t="s">
        <v>5</v>
      </c>
      <c r="F30" s="16" t="s">
        <v>6</v>
      </c>
      <c r="G30" s="16" t="s">
        <v>45</v>
      </c>
      <c r="H30" s="16" t="s">
        <v>8</v>
      </c>
      <c r="I30" s="16" t="s">
        <v>46</v>
      </c>
      <c r="J30" s="16" t="s">
        <v>47</v>
      </c>
      <c r="K30" s="16" t="s">
        <v>48</v>
      </c>
      <c r="L30" s="16" t="s">
        <v>12</v>
      </c>
    </row>
    <row r="31" spans="6:12" ht="20.25" customHeight="1">
      <c r="F31" s="50"/>
      <c r="G31" s="50"/>
      <c r="H31" s="50"/>
      <c r="I31" s="50"/>
      <c r="J31" s="50"/>
      <c r="K31" s="50"/>
      <c r="L31" s="50"/>
    </row>
    <row r="32" spans="4:12" s="1" customFormat="1" ht="20.25" customHeight="1">
      <c r="D32" s="5"/>
      <c r="F32" s="6"/>
      <c r="G32" s="6"/>
      <c r="H32" s="6"/>
      <c r="I32" s="6"/>
      <c r="J32" s="6"/>
      <c r="K32" s="6"/>
      <c r="L32" s="6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spans="3:12" ht="20.25" customHeight="1">
      <c r="C41" s="3"/>
      <c r="D41" s="3" t="s">
        <v>15</v>
      </c>
      <c r="E41" s="3"/>
      <c r="F41" s="4"/>
      <c r="G41" s="4">
        <f>+G32</f>
        <v>0</v>
      </c>
      <c r="H41" s="4">
        <f>SUM(I34:I39)</f>
        <v>0</v>
      </c>
      <c r="I41" s="4">
        <f>G41*H41</f>
        <v>0</v>
      </c>
      <c r="J41" s="4">
        <f>SUM(J34:J40)</f>
        <v>0</v>
      </c>
      <c r="K41" s="4">
        <f>G41*J41</f>
        <v>0</v>
      </c>
      <c r="L41" s="4">
        <f>IF(I41&gt;0,1+(K41-I41)/I41,0)</f>
        <v>0</v>
      </c>
    </row>
    <row r="61" spans="3:7" ht="12.75">
      <c r="C61" s="19"/>
      <c r="G61"/>
    </row>
    <row r="63" spans="3:12" ht="12.75">
      <c r="C63" s="3"/>
      <c r="D63" s="3" t="s">
        <v>15</v>
      </c>
      <c r="E63" s="3"/>
      <c r="F63" s="4"/>
      <c r="G63" s="4"/>
      <c r="H63" s="4"/>
      <c r="I63" s="4"/>
      <c r="J63" s="4"/>
      <c r="K63" s="4"/>
      <c r="L63" s="4"/>
    </row>
    <row r="64" spans="4:12" s="1" customFormat="1" ht="12.75">
      <c r="D64" s="5"/>
      <c r="F64" s="6"/>
      <c r="G64" s="6"/>
      <c r="H64" s="6"/>
      <c r="I64" s="6"/>
      <c r="J64" s="6"/>
      <c r="K64" s="6"/>
      <c r="L64" s="6"/>
    </row>
  </sheetData>
  <mergeCells count="3">
    <mergeCell ref="G19:I19"/>
    <mergeCell ref="C22:I24"/>
    <mergeCell ref="C26:I28"/>
  </mergeCells>
  <printOptions gridLines="1"/>
  <pageMargins left="0.89" right="0" top="0.39" bottom="0" header="0.17" footer="0.22"/>
  <pageSetup orientation="landscape" paperSize="9" scale="130" r:id="rId1"/>
  <headerFooter alignWithMargins="0">
    <oddHeader>&amp;L&amp;F&amp;C&amp;D&amp;R&amp;A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25" sqref="F25"/>
    </sheetView>
  </sheetViews>
  <sheetFormatPr defaultColWidth="11.421875" defaultRowHeight="12.75"/>
  <cols>
    <col min="1" max="1" width="8.28125" style="0" customWidth="1"/>
    <col min="2" max="2" width="29.140625" style="0" customWidth="1"/>
    <col min="3" max="3" width="3.57421875" style="0" customWidth="1"/>
    <col min="4" max="4" width="11.421875" style="2" bestFit="1" customWidth="1"/>
    <col min="5" max="5" width="9.421875" style="2" bestFit="1" customWidth="1"/>
    <col min="6" max="6" width="10.28125" style="2" customWidth="1"/>
    <col min="7" max="7" width="7.421875" style="2" bestFit="1" customWidth="1"/>
    <col min="8" max="8" width="11.421875" style="2" customWidth="1"/>
    <col min="9" max="9" width="11.7109375" style="2" bestFit="1" customWidth="1"/>
    <col min="10" max="10" width="13.8515625" style="2" bestFit="1" customWidth="1"/>
  </cols>
  <sheetData>
    <row r="1" spans="1:2" ht="12.75">
      <c r="A1" s="1" t="s">
        <v>0</v>
      </c>
      <c r="B1" s="1"/>
    </row>
    <row r="3" ht="12.75">
      <c r="A3" s="1" t="s">
        <v>1</v>
      </c>
    </row>
    <row r="4" ht="12.75">
      <c r="A4" s="1" t="s">
        <v>2</v>
      </c>
    </row>
    <row r="6" spans="1:10" ht="12.75">
      <c r="A6" s="3" t="s">
        <v>3</v>
      </c>
      <c r="B6" s="3" t="s">
        <v>4</v>
      </c>
      <c r="C6" s="3" t="s">
        <v>5</v>
      </c>
      <c r="D6" s="61" t="s">
        <v>45</v>
      </c>
      <c r="E6" s="4" t="s">
        <v>8</v>
      </c>
      <c r="F6" s="4" t="s">
        <v>9</v>
      </c>
      <c r="G6" s="4" t="s">
        <v>6</v>
      </c>
      <c r="H6" s="4" t="s">
        <v>10</v>
      </c>
      <c r="I6" s="4" t="s">
        <v>11</v>
      </c>
      <c r="J6" s="4" t="s">
        <v>12</v>
      </c>
    </row>
    <row r="8" spans="1:10" s="1" customFormat="1" ht="25.5">
      <c r="A8" s="1">
        <v>13020</v>
      </c>
      <c r="B8" s="5" t="s">
        <v>16</v>
      </c>
      <c r="C8" s="1" t="s">
        <v>13</v>
      </c>
      <c r="D8" s="6">
        <v>2</v>
      </c>
      <c r="E8" s="6"/>
      <c r="F8" s="6"/>
      <c r="G8" s="6"/>
      <c r="H8" s="6"/>
      <c r="I8" s="6"/>
      <c r="J8" s="6"/>
    </row>
    <row r="10" spans="1:8" ht="12.75">
      <c r="A10">
        <v>11001</v>
      </c>
      <c r="B10" t="s">
        <v>17</v>
      </c>
      <c r="C10" t="s">
        <v>14</v>
      </c>
      <c r="D10" s="2">
        <v>0.5</v>
      </c>
      <c r="E10" s="2">
        <v>17.5</v>
      </c>
      <c r="F10" s="2">
        <f>E10*D10</f>
        <v>8.75</v>
      </c>
      <c r="G10" s="2">
        <v>1.3</v>
      </c>
      <c r="H10" s="2">
        <f>F10*G10</f>
        <v>11.375</v>
      </c>
    </row>
    <row r="11" spans="1:10" ht="12.75">
      <c r="A11">
        <v>101460</v>
      </c>
      <c r="B11" t="s">
        <v>18</v>
      </c>
      <c r="C11" t="s">
        <v>19</v>
      </c>
      <c r="D11" s="2">
        <v>3.33</v>
      </c>
      <c r="E11" s="2">
        <v>1</v>
      </c>
      <c r="F11" s="2">
        <f>E11*D11</f>
        <v>3.33</v>
      </c>
      <c r="G11" s="2">
        <v>1.15</v>
      </c>
      <c r="H11" s="2">
        <f>F11*G11</f>
        <v>3.8295</v>
      </c>
      <c r="J11" s="2">
        <f>0.22*0.6*10/0.2/2</f>
        <v>3.3</v>
      </c>
    </row>
    <row r="12" spans="1:10" ht="12.75">
      <c r="A12">
        <v>101480</v>
      </c>
      <c r="B12" t="s">
        <v>20</v>
      </c>
      <c r="C12" t="s">
        <v>19</v>
      </c>
      <c r="D12" s="2">
        <v>9.24</v>
      </c>
      <c r="E12" s="2">
        <v>1</v>
      </c>
      <c r="F12" s="2">
        <f>E12*D12</f>
        <v>9.24</v>
      </c>
      <c r="G12" s="2">
        <v>1.15</v>
      </c>
      <c r="H12" s="2">
        <f>F12*G12</f>
        <v>10.626</v>
      </c>
      <c r="J12" s="2">
        <f>3*10*0.616/2</f>
        <v>9.24</v>
      </c>
    </row>
    <row r="13" spans="1:8" ht="12.75">
      <c r="A13">
        <v>305004</v>
      </c>
      <c r="B13" t="s">
        <v>21</v>
      </c>
      <c r="C13" t="s">
        <v>13</v>
      </c>
      <c r="D13" s="2">
        <v>1</v>
      </c>
      <c r="E13" s="2">
        <v>80</v>
      </c>
      <c r="F13" s="2">
        <f>E13*D13</f>
        <v>80</v>
      </c>
      <c r="G13" s="2">
        <v>1.15</v>
      </c>
      <c r="H13" s="2">
        <f>F13*G13</f>
        <v>92</v>
      </c>
    </row>
    <row r="14" ht="12.75">
      <c r="F14" s="2">
        <f>SUM(F10:F13)</f>
        <v>101.32</v>
      </c>
    </row>
    <row r="15" spans="1:10" ht="12.75">
      <c r="A15" s="3"/>
      <c r="B15" s="3" t="s">
        <v>15</v>
      </c>
      <c r="C15" s="3"/>
      <c r="D15" s="4">
        <f>+D8</f>
        <v>2</v>
      </c>
      <c r="E15" s="4">
        <f>SUM(F10:F13)</f>
        <v>101.32</v>
      </c>
      <c r="F15" s="4">
        <f>D15*E15</f>
        <v>202.64</v>
      </c>
      <c r="G15" s="4"/>
      <c r="H15" s="4">
        <f>SUM(H10:H14)</f>
        <v>117.8305</v>
      </c>
      <c r="I15" s="4">
        <f>D15*H15</f>
        <v>235.661</v>
      </c>
      <c r="J15" s="4">
        <f>IF(F15&gt;0,1+(I15-F15)/F15,0)</f>
        <v>1.1629540071061983</v>
      </c>
    </row>
    <row r="17" spans="1:10" s="1" customFormat="1" ht="25.5">
      <c r="A17" s="1">
        <v>6190</v>
      </c>
      <c r="B17" s="5" t="s">
        <v>22</v>
      </c>
      <c r="C17" s="1" t="s">
        <v>23</v>
      </c>
      <c r="D17" s="6">
        <v>5</v>
      </c>
      <c r="E17" s="6"/>
      <c r="F17" s="6"/>
      <c r="G17" s="6"/>
      <c r="H17" s="6"/>
      <c r="I17" s="6"/>
      <c r="J17" s="6"/>
    </row>
    <row r="19" spans="1:8" ht="12.75">
      <c r="A19">
        <v>11001</v>
      </c>
      <c r="B19" t="s">
        <v>17</v>
      </c>
      <c r="C19" t="s">
        <v>14</v>
      </c>
      <c r="D19" s="2">
        <v>1</v>
      </c>
      <c r="E19" s="2">
        <v>17.5</v>
      </c>
      <c r="F19" s="2">
        <f aca="true" t="shared" si="0" ref="F19:F24">E19*D19</f>
        <v>17.5</v>
      </c>
      <c r="G19" s="2">
        <v>1.3</v>
      </c>
      <c r="H19" s="2">
        <f aca="true" t="shared" si="1" ref="H19:H24">F19*G19</f>
        <v>22.75</v>
      </c>
    </row>
    <row r="20" spans="1:8" ht="12.75">
      <c r="A20">
        <v>301100</v>
      </c>
      <c r="B20" t="s">
        <v>24</v>
      </c>
      <c r="C20" t="s">
        <v>5</v>
      </c>
      <c r="D20" s="2">
        <v>8</v>
      </c>
      <c r="E20" s="2">
        <v>0.8</v>
      </c>
      <c r="F20" s="2">
        <f t="shared" si="0"/>
        <v>6.4</v>
      </c>
      <c r="G20" s="2">
        <v>1.15</v>
      </c>
      <c r="H20" s="2">
        <f t="shared" si="1"/>
        <v>7.359999999999999</v>
      </c>
    </row>
    <row r="21" spans="1:8" ht="12.75">
      <c r="A21">
        <v>601090</v>
      </c>
      <c r="B21" t="s">
        <v>25</v>
      </c>
      <c r="C21" t="s">
        <v>26</v>
      </c>
      <c r="D21" s="2">
        <v>0.05</v>
      </c>
      <c r="E21" s="2">
        <v>6</v>
      </c>
      <c r="F21" s="2">
        <f t="shared" si="0"/>
        <v>0.30000000000000004</v>
      </c>
      <c r="G21" s="2">
        <v>1.15</v>
      </c>
      <c r="H21" s="2">
        <f t="shared" si="1"/>
        <v>0.34500000000000003</v>
      </c>
    </row>
    <row r="22" spans="1:8" ht="12.75">
      <c r="A22">
        <v>601120</v>
      </c>
      <c r="B22" t="s">
        <v>27</v>
      </c>
      <c r="C22" t="s">
        <v>26</v>
      </c>
      <c r="D22" s="2">
        <v>0.05</v>
      </c>
      <c r="E22" s="2">
        <v>18</v>
      </c>
      <c r="F22" s="2">
        <f t="shared" si="0"/>
        <v>0.9</v>
      </c>
      <c r="G22" s="2">
        <v>1.15</v>
      </c>
      <c r="H22" s="2">
        <f t="shared" si="1"/>
        <v>1.035</v>
      </c>
    </row>
    <row r="23" spans="1:8" ht="12.75">
      <c r="A23">
        <v>611010</v>
      </c>
      <c r="B23" t="s">
        <v>28</v>
      </c>
      <c r="C23" t="s">
        <v>5</v>
      </c>
      <c r="D23" s="2">
        <v>0.35</v>
      </c>
      <c r="E23" s="2">
        <v>6.5</v>
      </c>
      <c r="F23" s="2">
        <f t="shared" si="0"/>
        <v>2.275</v>
      </c>
      <c r="G23" s="2">
        <v>1.15</v>
      </c>
      <c r="H23" s="2">
        <f t="shared" si="1"/>
        <v>2.6162499999999995</v>
      </c>
    </row>
    <row r="24" spans="1:8" ht="12.75">
      <c r="A24">
        <v>81230</v>
      </c>
      <c r="B24" t="s">
        <v>29</v>
      </c>
      <c r="C24" t="s">
        <v>14</v>
      </c>
      <c r="D24" s="2">
        <v>0.25</v>
      </c>
      <c r="E24" s="2">
        <v>7</v>
      </c>
      <c r="F24" s="2">
        <f t="shared" si="0"/>
        <v>1.75</v>
      </c>
      <c r="G24" s="2">
        <v>1.3</v>
      </c>
      <c r="H24" s="2">
        <f t="shared" si="1"/>
        <v>2.275</v>
      </c>
    </row>
    <row r="25" ht="12.75">
      <c r="F25" s="2">
        <f>SUM(F19:F24)</f>
        <v>29.124999999999996</v>
      </c>
    </row>
    <row r="26" spans="1:10" ht="12.75">
      <c r="A26" s="3"/>
      <c r="B26" s="3" t="s">
        <v>15</v>
      </c>
      <c r="C26" s="3"/>
      <c r="D26" s="4">
        <f>+D17</f>
        <v>5</v>
      </c>
      <c r="E26" s="4">
        <f>SUM(F19:F24)</f>
        <v>29.124999999999996</v>
      </c>
      <c r="F26" s="4">
        <f>D26*E26</f>
        <v>145.62499999999997</v>
      </c>
      <c r="G26" s="4"/>
      <c r="H26" s="4">
        <f>SUM(H19:H25)</f>
        <v>36.381249999999994</v>
      </c>
      <c r="I26" s="4">
        <f>D26*H26</f>
        <v>181.90624999999997</v>
      </c>
      <c r="J26" s="4">
        <f>IF(F26&gt;0,1+(I26-F26)/F26,0)</f>
        <v>1.2491416309012875</v>
      </c>
    </row>
    <row r="28" spans="2:10" s="3" customFormat="1" ht="12.75">
      <c r="B28" s="3" t="s">
        <v>30</v>
      </c>
      <c r="D28" s="4"/>
      <c r="E28" s="4"/>
      <c r="F28" s="4">
        <f>+F26+F15</f>
        <v>348.265</v>
      </c>
      <c r="G28" s="4"/>
      <c r="H28" s="4"/>
      <c r="I28" s="4">
        <f>+I26+I15</f>
        <v>417.56724999999994</v>
      </c>
      <c r="J28" s="4">
        <f>IF(F28&gt;0,1+(I28-F28)/F28,0)</f>
        <v>1.1989928646289463</v>
      </c>
    </row>
    <row r="29" ht="13.5" thickBot="1"/>
    <row r="30" spans="2:4" ht="13.5" thickBot="1">
      <c r="B30" s="8" t="s">
        <v>31</v>
      </c>
      <c r="C30" s="9" t="s">
        <v>32</v>
      </c>
      <c r="D30" s="10">
        <f>I28-F28</f>
        <v>69.30224999999996</v>
      </c>
    </row>
  </sheetData>
  <printOptions gridLines="1"/>
  <pageMargins left="0" right="0" top="0.7874015748031497" bottom="0" header="0.17" footer="0.22"/>
  <pageSetup orientation="landscape" paperSize="9" r:id="rId1"/>
  <headerFooter alignWithMargins="0">
    <oddHeader>&amp;L&amp;F&amp;C&amp;D&amp;R&amp;A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6">
      <selection activeCell="H29" sqref="H29"/>
    </sheetView>
  </sheetViews>
  <sheetFormatPr defaultColWidth="11.421875" defaultRowHeight="12.75"/>
  <cols>
    <col min="1" max="1" width="8.28125" style="0" customWidth="1"/>
    <col min="2" max="2" width="29.140625" style="0" customWidth="1"/>
    <col min="3" max="4" width="3.57421875" style="0" customWidth="1"/>
    <col min="5" max="7" width="11.421875" style="2" customWidth="1"/>
    <col min="8" max="8" width="7.421875" style="2" customWidth="1"/>
    <col min="9" max="11" width="11.421875" style="2" customWidth="1"/>
  </cols>
  <sheetData>
    <row r="1" spans="1:2" ht="12.75">
      <c r="A1" s="1" t="s">
        <v>0</v>
      </c>
      <c r="B1" s="1"/>
    </row>
    <row r="3" ht="12.75">
      <c r="A3" s="1" t="s">
        <v>1</v>
      </c>
    </row>
    <row r="4" ht="12.75">
      <c r="A4" s="1" t="s">
        <v>33</v>
      </c>
    </row>
    <row r="6" spans="1:11" ht="12.75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6</v>
      </c>
      <c r="I6" s="4" t="s">
        <v>10</v>
      </c>
      <c r="J6" s="4" t="s">
        <v>11</v>
      </c>
      <c r="K6" s="4" t="s">
        <v>12</v>
      </c>
    </row>
    <row r="8" spans="1:11" s="1" customFormat="1" ht="25.5">
      <c r="A8" s="1">
        <v>13020</v>
      </c>
      <c r="B8" s="5" t="s">
        <v>16</v>
      </c>
      <c r="C8" s="1" t="s">
        <v>13</v>
      </c>
      <c r="E8" s="6">
        <v>4</v>
      </c>
      <c r="F8" s="6"/>
      <c r="G8" s="6"/>
      <c r="H8" s="6"/>
      <c r="I8" s="6"/>
      <c r="J8" s="6"/>
      <c r="K8" s="6"/>
    </row>
    <row r="10" spans="1:9" ht="12.75">
      <c r="A10">
        <v>11001</v>
      </c>
      <c r="B10" t="s">
        <v>17</v>
      </c>
      <c r="C10" t="s">
        <v>14</v>
      </c>
      <c r="E10" s="2">
        <v>0.5</v>
      </c>
      <c r="F10" s="2">
        <v>17.5</v>
      </c>
      <c r="G10" s="2">
        <f>F10*E10</f>
        <v>8.75</v>
      </c>
      <c r="H10" s="2">
        <v>1.3</v>
      </c>
      <c r="I10" s="2">
        <f>G10*H10</f>
        <v>11.375</v>
      </c>
    </row>
    <row r="11" spans="1:9" ht="12.75">
      <c r="A11">
        <v>101460</v>
      </c>
      <c r="B11" t="s">
        <v>18</v>
      </c>
      <c r="C11" t="s">
        <v>19</v>
      </c>
      <c r="E11" s="2">
        <v>1.67</v>
      </c>
      <c r="F11" s="2">
        <v>1</v>
      </c>
      <c r="G11" s="2">
        <f>F11*E11</f>
        <v>1.67</v>
      </c>
      <c r="H11" s="2">
        <v>1.15</v>
      </c>
      <c r="I11" s="2">
        <f>G11*H11</f>
        <v>1.9204999999999999</v>
      </c>
    </row>
    <row r="12" spans="1:9" ht="12.75">
      <c r="A12">
        <v>101480</v>
      </c>
      <c r="B12" t="s">
        <v>20</v>
      </c>
      <c r="C12" t="s">
        <v>19</v>
      </c>
      <c r="E12" s="2">
        <v>4.62</v>
      </c>
      <c r="F12" s="2">
        <v>1</v>
      </c>
      <c r="G12" s="2">
        <f>F12*E12</f>
        <v>4.62</v>
      </c>
      <c r="H12" s="2">
        <v>1.15</v>
      </c>
      <c r="I12" s="2">
        <f>G12*H12</f>
        <v>5.313</v>
      </c>
    </row>
    <row r="13" spans="1:9" ht="12.75">
      <c r="A13">
        <v>305004</v>
      </c>
      <c r="B13" t="s">
        <v>21</v>
      </c>
      <c r="C13" t="s">
        <v>13</v>
      </c>
      <c r="E13" s="2">
        <v>1</v>
      </c>
      <c r="F13" s="2">
        <v>80</v>
      </c>
      <c r="G13" s="2">
        <f>F13*E13</f>
        <v>80</v>
      </c>
      <c r="H13" s="2">
        <v>1.15</v>
      </c>
      <c r="I13" s="2">
        <f>G13*H13</f>
        <v>92</v>
      </c>
    </row>
    <row r="14" spans="2:7" ht="12.75">
      <c r="B14" t="s">
        <v>49</v>
      </c>
      <c r="G14" s="2">
        <f>SUM(G10:G13)</f>
        <v>95.03999999999999</v>
      </c>
    </row>
    <row r="16" spans="1:11" ht="12.75">
      <c r="A16" s="3"/>
      <c r="B16" s="3" t="s">
        <v>15</v>
      </c>
      <c r="C16" s="3"/>
      <c r="D16" s="3"/>
      <c r="E16" s="4">
        <f>E8</f>
        <v>4</v>
      </c>
      <c r="F16" s="4">
        <f>SUM(G10:G13)</f>
        <v>95.03999999999999</v>
      </c>
      <c r="G16" s="4">
        <f>E16*F16</f>
        <v>380.15999999999997</v>
      </c>
      <c r="H16" s="4"/>
      <c r="I16" s="4">
        <f>SUM(I10:I14)</f>
        <v>110.60849999999999</v>
      </c>
      <c r="J16" s="4">
        <f>E16*I16</f>
        <v>442.43399999999997</v>
      </c>
      <c r="K16" s="4">
        <f>IF(G16&gt;0,1+(J16-G16)/G16,0)</f>
        <v>1.1638099747474748</v>
      </c>
    </row>
    <row r="19" spans="2:11" s="3" customFormat="1" ht="12.75">
      <c r="B19" s="3" t="s">
        <v>30</v>
      </c>
      <c r="E19" s="4"/>
      <c r="F19" s="4"/>
      <c r="G19" s="4">
        <f>G16</f>
        <v>380.15999999999997</v>
      </c>
      <c r="H19" s="4"/>
      <c r="I19" s="4"/>
      <c r="J19" s="4">
        <f>J16</f>
        <v>442.43399999999997</v>
      </c>
      <c r="K19" s="4">
        <f>IF(G19&gt;0,1+(J19-G19)/G19,0)</f>
        <v>1.1638099747474748</v>
      </c>
    </row>
    <row r="20" ht="13.5" thickBot="1"/>
    <row r="21" spans="2:5" ht="13.5" thickBot="1">
      <c r="B21" s="8" t="s">
        <v>31</v>
      </c>
      <c r="C21" s="9" t="s">
        <v>32</v>
      </c>
      <c r="D21" s="9"/>
      <c r="E21" s="10">
        <f>J19-G19</f>
        <v>62.274</v>
      </c>
    </row>
  </sheetData>
  <printOptions gridLines="1"/>
  <pageMargins left="0" right="0" top="0.7874015748031497" bottom="0" header="0.17" footer="0.22"/>
  <pageSetup fitToHeight="1" fitToWidth="1" orientation="landscape" paperSize="9" r:id="rId1"/>
  <headerFooter alignWithMargins="0">
    <oddHeader>&amp;L&amp;F&amp;C&amp;D&amp;R&amp;A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9">
      <selection activeCell="J34" sqref="J34"/>
    </sheetView>
  </sheetViews>
  <sheetFormatPr defaultColWidth="11.421875" defaultRowHeight="12.75"/>
  <cols>
    <col min="1" max="1" width="17.00390625" style="0" customWidth="1"/>
    <col min="3" max="3" width="11.421875" style="2" customWidth="1"/>
    <col min="4" max="4" width="7.421875" style="2" customWidth="1"/>
    <col min="5" max="5" width="11.7109375" style="2" customWidth="1"/>
    <col min="6" max="6" width="15.7109375" style="2" customWidth="1"/>
    <col min="7" max="7" width="13.140625" style="2" customWidth="1"/>
    <col min="8" max="8" width="11.421875" style="2" customWidth="1"/>
    <col min="9" max="9" width="15.57421875" style="2" bestFit="1" customWidth="1"/>
    <col min="10" max="10" width="14.7109375" style="0" customWidth="1"/>
  </cols>
  <sheetData>
    <row r="1" spans="1:9" ht="71.25" customHeight="1">
      <c r="A1" s="70" t="s">
        <v>146</v>
      </c>
      <c r="B1" s="70"/>
      <c r="C1" s="70"/>
      <c r="D1" s="70"/>
      <c r="E1" s="70"/>
      <c r="F1" s="70"/>
      <c r="G1" s="70"/>
      <c r="H1" s="70"/>
      <c r="I1" s="70"/>
    </row>
    <row r="2" ht="12.75">
      <c r="A2" s="1" t="s">
        <v>34</v>
      </c>
    </row>
    <row r="3" spans="2:9" s="1" customFormat="1" ht="12.75">
      <c r="B3" s="1" t="s">
        <v>35</v>
      </c>
      <c r="C3" s="6" t="s">
        <v>36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31</v>
      </c>
      <c r="I3" s="6" t="s">
        <v>41</v>
      </c>
    </row>
    <row r="4" ht="12.75">
      <c r="A4" s="1" t="s">
        <v>66</v>
      </c>
    </row>
    <row r="5" spans="1:9" ht="12.75">
      <c r="A5" t="s">
        <v>118</v>
      </c>
      <c r="B5">
        <v>13020</v>
      </c>
      <c r="C5" s="2">
        <v>2</v>
      </c>
      <c r="D5" s="2">
        <v>0.5</v>
      </c>
      <c r="E5" s="2">
        <f>C5*D5</f>
        <v>1</v>
      </c>
      <c r="F5" s="2">
        <f>'Sol 1'!F15</f>
        <v>202.64</v>
      </c>
      <c r="G5" s="2">
        <f>'Sol 1'!I15</f>
        <v>235.661</v>
      </c>
      <c r="H5" s="2">
        <f>G5-F5</f>
        <v>33.021000000000015</v>
      </c>
      <c r="I5" s="2">
        <f>IF(ISBLANK($E$28),0,H5/E5)</f>
        <v>33.021000000000015</v>
      </c>
    </row>
    <row r="6" spans="1:9" ht="12.75">
      <c r="A6" s="39" t="s">
        <v>119</v>
      </c>
      <c r="B6">
        <v>6190</v>
      </c>
      <c r="C6" s="2">
        <v>5</v>
      </c>
      <c r="D6" s="2">
        <v>1</v>
      </c>
      <c r="E6" s="2">
        <f>C6*D6</f>
        <v>5</v>
      </c>
      <c r="F6" s="2">
        <f>'Sol 1'!F26</f>
        <v>145.62499999999997</v>
      </c>
      <c r="G6" s="2">
        <f>'Sol 1'!I26</f>
        <v>181.90624999999997</v>
      </c>
      <c r="H6" s="2">
        <f>G6-F6</f>
        <v>36.28125</v>
      </c>
      <c r="I6" s="2">
        <f>IF(ISBLANK($E$28),0,H6/E6)</f>
        <v>7.25625</v>
      </c>
    </row>
    <row r="7" ht="13.5" thickBot="1"/>
    <row r="8" spans="2:9" ht="13.5" thickBot="1">
      <c r="B8" s="11" t="s">
        <v>15</v>
      </c>
      <c r="C8" s="12"/>
      <c r="D8" s="12"/>
      <c r="E8" s="12">
        <f>SUM(E5:E7)</f>
        <v>6</v>
      </c>
      <c r="F8" s="12">
        <f>SUM(F5:F7)</f>
        <v>348.265</v>
      </c>
      <c r="G8" s="12">
        <f>SUM(G5:G7)</f>
        <v>417.56724999999994</v>
      </c>
      <c r="H8" s="12">
        <f>SUM(H5:H7)</f>
        <v>69.30225000000002</v>
      </c>
      <c r="I8" s="12">
        <f>IF(ISBLANK($E$28),0,H8/E8)</f>
        <v>11.550375000000003</v>
      </c>
    </row>
    <row r="10" ht="12.75">
      <c r="A10" s="1" t="s">
        <v>67</v>
      </c>
    </row>
    <row r="11" spans="1:9" ht="12.75">
      <c r="A11" t="s">
        <v>118</v>
      </c>
      <c r="B11">
        <v>13020</v>
      </c>
      <c r="C11" s="2">
        <v>4</v>
      </c>
      <c r="D11" s="2">
        <v>0.5</v>
      </c>
      <c r="E11" s="2">
        <f>C11*D11</f>
        <v>2</v>
      </c>
      <c r="F11" s="2">
        <f>'Sol 2 '!G16</f>
        <v>380.15999999999997</v>
      </c>
      <c r="G11" s="2">
        <f>'Sol 2 '!J16</f>
        <v>442.43399999999997</v>
      </c>
      <c r="H11" s="2">
        <f>G11-F11</f>
        <v>62.274</v>
      </c>
      <c r="I11" s="2">
        <f>IF(ISBLANK($E$28),0,H11/E11)</f>
        <v>31.137</v>
      </c>
    </row>
    <row r="12" ht="13.5" thickBot="1"/>
    <row r="13" spans="2:9" ht="13.5" thickBot="1">
      <c r="B13" s="11" t="s">
        <v>15</v>
      </c>
      <c r="C13" s="12"/>
      <c r="D13" s="12"/>
      <c r="E13" s="12">
        <f>SUM(E10:E12)</f>
        <v>2</v>
      </c>
      <c r="F13" s="12">
        <f>SUM(F10:F12)</f>
        <v>380.15999999999997</v>
      </c>
      <c r="G13" s="12">
        <f>SUM(G10:G12)</f>
        <v>442.43399999999997</v>
      </c>
      <c r="H13" s="12">
        <f>SUM(H10:H12)</f>
        <v>62.274</v>
      </c>
      <c r="I13" s="12">
        <f>IF(ISBLANK($E$28),0,H13/E13)</f>
        <v>31.137</v>
      </c>
    </row>
    <row r="14" ht="13.5" thickBot="1"/>
    <row r="15" spans="1:9" ht="13.5" thickBot="1">
      <c r="A15" t="s">
        <v>68</v>
      </c>
      <c r="B15" s="11"/>
      <c r="C15" s="12"/>
      <c r="D15" s="12"/>
      <c r="E15" s="12">
        <f>E13</f>
        <v>2</v>
      </c>
      <c r="F15" s="12">
        <f>F13</f>
        <v>380.15999999999997</v>
      </c>
      <c r="G15" s="12">
        <f>G8</f>
        <v>417.56724999999994</v>
      </c>
      <c r="H15" s="12">
        <f>G15-F15</f>
        <v>37.407249999999976</v>
      </c>
      <c r="I15" s="12">
        <f>IF(ISBLANK($E$28),0,H15/E15)</f>
        <v>18.703624999999988</v>
      </c>
    </row>
    <row r="16" ht="13.5" thickBot="1"/>
    <row r="17" spans="1:9" ht="13.5" thickBot="1">
      <c r="A17" t="s">
        <v>69</v>
      </c>
      <c r="B17" s="11"/>
      <c r="C17" s="12"/>
      <c r="D17" s="12"/>
      <c r="E17" s="12">
        <f>E15</f>
        <v>2</v>
      </c>
      <c r="F17" s="12">
        <f>F15</f>
        <v>380.15999999999997</v>
      </c>
      <c r="G17" s="12">
        <f>F17+H17</f>
        <v>403.26075</v>
      </c>
      <c r="H17" s="12">
        <f>I17*E17</f>
        <v>23.100750000000005</v>
      </c>
      <c r="I17" s="13">
        <f>I8</f>
        <v>11.550375000000003</v>
      </c>
    </row>
    <row r="19" ht="12.75">
      <c r="G19" s="7"/>
    </row>
    <row r="20" ht="12.75">
      <c r="A20" t="s">
        <v>147</v>
      </c>
    </row>
    <row r="22" ht="12.75">
      <c r="A22" s="1" t="s">
        <v>148</v>
      </c>
    </row>
    <row r="23" spans="1:9" ht="12.75">
      <c r="A23" s="1" t="s">
        <v>149</v>
      </c>
      <c r="B23" s="1"/>
      <c r="C23" s="6"/>
      <c r="D23" s="6"/>
      <c r="E23" s="6"/>
      <c r="F23" s="6"/>
      <c r="G23" s="6"/>
      <c r="H23" s="6"/>
      <c r="I23" s="6"/>
    </row>
    <row r="24" spans="1:9" ht="12.75">
      <c r="A24" s="1"/>
      <c r="B24" s="1"/>
      <c r="C24" s="6"/>
      <c r="D24" s="6"/>
      <c r="E24" s="6"/>
      <c r="F24" s="6"/>
      <c r="G24" s="6"/>
      <c r="H24" s="6"/>
      <c r="I24" s="6"/>
    </row>
    <row r="25" ht="12.75">
      <c r="A25" s="1" t="s">
        <v>150</v>
      </c>
    </row>
    <row r="27" ht="13.5" thickBot="1"/>
    <row r="28" spans="1:5" ht="13.5" thickBot="1">
      <c r="A28" s="18" t="s">
        <v>151</v>
      </c>
      <c r="B28" s="18"/>
      <c r="C28" s="18" t="s">
        <v>41</v>
      </c>
      <c r="D28" s="52"/>
      <c r="E28" s="51" t="s">
        <v>152</v>
      </c>
    </row>
    <row r="29" spans="3:9" ht="12.75">
      <c r="C29"/>
      <c r="D29"/>
      <c r="E29"/>
      <c r="F29"/>
      <c r="G29"/>
      <c r="H29"/>
      <c r="I29"/>
    </row>
    <row r="30" spans="1:7" ht="30" customHeight="1">
      <c r="A30" s="71" t="s">
        <v>153</v>
      </c>
      <c r="B30" s="71"/>
      <c r="C30" s="71"/>
      <c r="D30" s="71"/>
      <c r="E30" s="71"/>
      <c r="F30" s="53" t="s">
        <v>122</v>
      </c>
      <c r="G30" s="54">
        <f>+I13/I8-1</f>
        <v>1.6957566312782046</v>
      </c>
    </row>
    <row r="31" ht="12.75">
      <c r="A31" s="1"/>
    </row>
    <row r="32" spans="1:9" ht="12.75">
      <c r="A32" s="18" t="s">
        <v>156</v>
      </c>
      <c r="C32"/>
      <c r="D32"/>
      <c r="E32"/>
      <c r="F32"/>
      <c r="G32"/>
      <c r="H32"/>
      <c r="I32"/>
    </row>
    <row r="33" spans="3:9" ht="12.75">
      <c r="C33"/>
      <c r="D33"/>
      <c r="E33"/>
      <c r="F33"/>
      <c r="G33"/>
      <c r="H33"/>
      <c r="I33"/>
    </row>
    <row r="34" spans="1:9" ht="39" customHeight="1">
      <c r="A34" s="71" t="s">
        <v>154</v>
      </c>
      <c r="B34" s="71"/>
      <c r="C34" s="71"/>
      <c r="D34" s="71"/>
      <c r="E34" s="71"/>
      <c r="F34" s="53" t="s">
        <v>120</v>
      </c>
      <c r="G34" s="54">
        <f>I15/I8-1</f>
        <v>0.6193088968972855</v>
      </c>
      <c r="H34"/>
      <c r="I34"/>
    </row>
    <row r="35" spans="3:9" ht="12.75">
      <c r="C35"/>
      <c r="D35"/>
      <c r="E35"/>
      <c r="F35"/>
      <c r="G35"/>
      <c r="H35"/>
      <c r="I35"/>
    </row>
    <row r="36" spans="3:9" ht="12.75">
      <c r="C36"/>
      <c r="D36"/>
      <c r="E36"/>
      <c r="F36"/>
      <c r="G36"/>
      <c r="H36"/>
      <c r="I36"/>
    </row>
    <row r="37" spans="1:9" ht="43.5" customHeight="1">
      <c r="A37" s="71" t="s">
        <v>155</v>
      </c>
      <c r="B37" s="71"/>
      <c r="C37" s="71"/>
      <c r="D37" s="71"/>
      <c r="E37" s="71"/>
      <c r="F37" s="53" t="s">
        <v>121</v>
      </c>
      <c r="G37" s="54">
        <f>+(G17-G8)/G8</f>
        <v>-0.03426154709211504</v>
      </c>
      <c r="H37"/>
      <c r="I37"/>
    </row>
    <row r="38" spans="3:9" ht="12.75">
      <c r="C38"/>
      <c r="D38"/>
      <c r="E38"/>
      <c r="F38"/>
      <c r="G38"/>
      <c r="H38"/>
      <c r="I38"/>
    </row>
    <row r="39" spans="3:9" ht="12.75">
      <c r="C39"/>
      <c r="D39"/>
      <c r="E39"/>
      <c r="F39"/>
      <c r="G39"/>
      <c r="H39"/>
      <c r="I39"/>
    </row>
    <row r="40" s="18" customFormat="1" ht="20.25">
      <c r="A40" s="58" t="s">
        <v>166</v>
      </c>
    </row>
    <row r="41" spans="3:9" ht="12.75">
      <c r="C41"/>
      <c r="D41"/>
      <c r="E41"/>
      <c r="F41"/>
      <c r="G41"/>
      <c r="H41"/>
      <c r="I41"/>
    </row>
    <row r="42" spans="3:9" ht="12.75">
      <c r="C42"/>
      <c r="D42"/>
      <c r="E42"/>
      <c r="F42"/>
      <c r="G42"/>
      <c r="H42"/>
      <c r="I42"/>
    </row>
    <row r="43" spans="3:9" ht="12.75">
      <c r="C43"/>
      <c r="D43"/>
      <c r="E43"/>
      <c r="F43"/>
      <c r="G43"/>
      <c r="H43"/>
      <c r="I43"/>
    </row>
    <row r="44" spans="3:9" ht="12.75">
      <c r="C44"/>
      <c r="D44"/>
      <c r="E44"/>
      <c r="F44"/>
      <c r="G44"/>
      <c r="H44"/>
      <c r="I44"/>
    </row>
    <row r="45" spans="3:9" ht="12.75">
      <c r="C45"/>
      <c r="D45"/>
      <c r="E45"/>
      <c r="F45"/>
      <c r="G45"/>
      <c r="H45"/>
      <c r="I45"/>
    </row>
  </sheetData>
  <mergeCells count="4">
    <mergeCell ref="A1:I1"/>
    <mergeCell ref="A30:E30"/>
    <mergeCell ref="A34:E34"/>
    <mergeCell ref="A37:E37"/>
  </mergeCells>
  <printOptions gridLines="1"/>
  <pageMargins left="0.75" right="0.36" top="0.84" bottom="1" header="0.4921259845" footer="0.4921259845"/>
  <pageSetup orientation="landscape" paperSize="9" scale="11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B10" sqref="B10"/>
    </sheetView>
  </sheetViews>
  <sheetFormatPr defaultColWidth="11.421875" defaultRowHeight="12.75"/>
  <cols>
    <col min="1" max="1" width="32.28125" style="0" customWidth="1"/>
    <col min="2" max="2" width="35.28125" style="0" bestFit="1" customWidth="1"/>
    <col min="3" max="3" width="19.421875" style="0" bestFit="1" customWidth="1"/>
    <col min="4" max="4" width="19.00390625" style="0" customWidth="1"/>
  </cols>
  <sheetData>
    <row r="1" ht="18">
      <c r="A1" s="21" t="s">
        <v>70</v>
      </c>
    </row>
    <row r="2" spans="1:3" ht="18">
      <c r="A2" s="21" t="s">
        <v>71</v>
      </c>
      <c r="B2" s="21"/>
      <c r="C2" s="21"/>
    </row>
    <row r="3" spans="1:4" ht="26.25">
      <c r="A3" s="21" t="s">
        <v>72</v>
      </c>
      <c r="D3" s="55" t="s">
        <v>84</v>
      </c>
    </row>
    <row r="4" spans="2:3" ht="18">
      <c r="B4" s="21" t="s">
        <v>73</v>
      </c>
      <c r="C4" s="22">
        <v>300000</v>
      </c>
    </row>
    <row r="5" spans="2:4" ht="18">
      <c r="B5" s="29" t="s">
        <v>83</v>
      </c>
      <c r="C5" s="22">
        <v>20</v>
      </c>
      <c r="D5" s="25">
        <f>+C4/C5</f>
        <v>15000</v>
      </c>
    </row>
    <row r="6" spans="2:3" ht="18">
      <c r="B6" s="21" t="s">
        <v>74</v>
      </c>
      <c r="C6" s="22">
        <v>280000</v>
      </c>
    </row>
    <row r="7" spans="2:3" ht="18">
      <c r="B7" s="21" t="s">
        <v>65</v>
      </c>
      <c r="C7" s="22">
        <v>75000</v>
      </c>
    </row>
    <row r="8" spans="2:4" ht="18">
      <c r="B8" s="21" t="s">
        <v>75</v>
      </c>
      <c r="C8" s="22">
        <v>60000</v>
      </c>
      <c r="D8" s="22"/>
    </row>
    <row r="9" spans="1:3" ht="18">
      <c r="A9" s="21" t="s">
        <v>76</v>
      </c>
      <c r="B9" s="21">
        <v>1</v>
      </c>
      <c r="C9" s="22">
        <f>SUM(C3:C8)</f>
        <v>715020</v>
      </c>
    </row>
    <row r="10" spans="1:4" ht="39">
      <c r="A10" s="21"/>
      <c r="B10" s="21"/>
      <c r="C10" s="22"/>
      <c r="D10" s="29" t="s">
        <v>85</v>
      </c>
    </row>
    <row r="11" spans="1:4" ht="18">
      <c r="A11" s="21" t="s">
        <v>77</v>
      </c>
      <c r="B11" s="27" t="s">
        <v>82</v>
      </c>
      <c r="C11" s="22">
        <v>200000</v>
      </c>
      <c r="D11" s="25">
        <f>+C11/D5</f>
        <v>13.333333333333334</v>
      </c>
    </row>
    <row r="12" spans="1:4" ht="18">
      <c r="A12" s="21" t="s">
        <v>78</v>
      </c>
      <c r="B12" s="21">
        <v>2</v>
      </c>
      <c r="C12" s="23">
        <f>+C11+C9</f>
        <v>915020</v>
      </c>
      <c r="D12" s="23">
        <f>++C9-C4+(D11+C5)*D5</f>
        <v>915020</v>
      </c>
    </row>
    <row r="13" spans="1:3" ht="18">
      <c r="A13" s="21" t="s">
        <v>79</v>
      </c>
      <c r="B13" s="24" t="s">
        <v>80</v>
      </c>
      <c r="C13" s="25">
        <f>+C12/C9</f>
        <v>1.2797124555956476</v>
      </c>
    </row>
    <row r="14" spans="1:3" ht="18.75" thickBot="1">
      <c r="A14" s="21" t="s">
        <v>81</v>
      </c>
      <c r="B14" s="21"/>
      <c r="C14" s="21"/>
    </row>
    <row r="15" spans="1:3" ht="18.75" thickBot="1">
      <c r="A15" s="21"/>
      <c r="B15" s="26" t="s">
        <v>104</v>
      </c>
      <c r="C15" s="21"/>
    </row>
    <row r="16" ht="18">
      <c r="A16" s="21" t="s">
        <v>157</v>
      </c>
    </row>
    <row r="17" spans="1:4" ht="74.25" customHeight="1">
      <c r="A17" s="72" t="s">
        <v>167</v>
      </c>
      <c r="B17" s="69"/>
      <c r="C17" s="69"/>
      <c r="D17" s="69"/>
    </row>
  </sheetData>
  <mergeCells count="1">
    <mergeCell ref="A17:D17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97" r:id="rId1"/>
  <headerFooter alignWithMargins="0">
    <oddHeader>&amp;C&amp;F&amp;R&amp;A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D17" sqref="D17"/>
    </sheetView>
  </sheetViews>
  <sheetFormatPr defaultColWidth="11.421875" defaultRowHeight="12.75"/>
  <cols>
    <col min="1" max="1" width="27.8515625" style="30" customWidth="1"/>
    <col min="2" max="2" width="21.421875" style="30" customWidth="1"/>
    <col min="3" max="3" width="15.57421875" style="31" bestFit="1" customWidth="1"/>
    <col min="4" max="4" width="13.7109375" style="30" bestFit="1" customWidth="1"/>
    <col min="5" max="5" width="12.00390625" style="30" bestFit="1" customWidth="1"/>
    <col min="6" max="6" width="10.7109375" style="30" bestFit="1" customWidth="1"/>
    <col min="7" max="16384" width="11.421875" style="30" customWidth="1"/>
  </cols>
  <sheetData>
    <row r="1" ht="20.25">
      <c r="A1" s="30" t="s">
        <v>86</v>
      </c>
    </row>
    <row r="2" spans="1:2" ht="20.25">
      <c r="A2" s="30" t="s">
        <v>158</v>
      </c>
      <c r="B2" s="33">
        <f>+'suite 10'!D11</f>
        <v>13.333333333333334</v>
      </c>
    </row>
    <row r="3" spans="1:2" ht="20.25">
      <c r="A3" s="30" t="s">
        <v>159</v>
      </c>
      <c r="B3" s="56">
        <f>+'suite 10'!C5</f>
        <v>20</v>
      </c>
    </row>
    <row r="4" spans="1:6" ht="20.25">
      <c r="A4" s="30" t="s">
        <v>87</v>
      </c>
      <c r="B4" s="30" t="s">
        <v>88</v>
      </c>
      <c r="C4" s="31" t="s">
        <v>89</v>
      </c>
      <c r="D4" s="30" t="s">
        <v>97</v>
      </c>
      <c r="E4" s="32" t="s">
        <v>31</v>
      </c>
      <c r="F4" s="32" t="s">
        <v>90</v>
      </c>
    </row>
    <row r="5" spans="2:6" ht="20.25">
      <c r="B5" s="30" t="s">
        <v>91</v>
      </c>
      <c r="C5" s="62">
        <v>1500</v>
      </c>
      <c r="D5" s="62">
        <f>+C5/B3</f>
        <v>75</v>
      </c>
      <c r="E5" s="62">
        <f>+B2*D5</f>
        <v>1000</v>
      </c>
      <c r="F5" s="63"/>
    </row>
    <row r="6" spans="2:6" ht="20.25">
      <c r="B6" s="30" t="s">
        <v>92</v>
      </c>
      <c r="C6" s="62">
        <v>15000</v>
      </c>
      <c r="D6" s="63"/>
      <c r="E6" s="63"/>
      <c r="F6" s="63"/>
    </row>
    <row r="7" spans="2:6" ht="20.25">
      <c r="B7" s="30" t="s">
        <v>93</v>
      </c>
      <c r="C7" s="62">
        <v>750</v>
      </c>
      <c r="D7" s="63"/>
      <c r="E7" s="63"/>
      <c r="F7" s="63"/>
    </row>
    <row r="8" spans="2:6" ht="21" thickBot="1">
      <c r="B8" s="30" t="s">
        <v>94</v>
      </c>
      <c r="C8" s="62">
        <v>3180</v>
      </c>
      <c r="D8" s="63"/>
      <c r="E8" s="63"/>
      <c r="F8" s="63"/>
    </row>
    <row r="9" spans="2:6" ht="21" thickBot="1">
      <c r="B9" s="30" t="s">
        <v>95</v>
      </c>
      <c r="C9" s="62">
        <f>SUM(C5:C8)</f>
        <v>20430</v>
      </c>
      <c r="D9" s="63">
        <f>+D5</f>
        <v>75</v>
      </c>
      <c r="E9" s="62">
        <f>+E5</f>
        <v>1000</v>
      </c>
      <c r="F9" s="64">
        <f>+E9+C9</f>
        <v>21430</v>
      </c>
    </row>
    <row r="10" spans="3:6" ht="20.25">
      <c r="C10" s="62"/>
      <c r="D10" s="63"/>
      <c r="E10" s="62"/>
      <c r="F10" s="63"/>
    </row>
    <row r="11" spans="1:6" ht="20.25">
      <c r="A11" s="30" t="s">
        <v>160</v>
      </c>
      <c r="B11" s="33">
        <f>+'suite 10'!C13</f>
        <v>1.2797124555956476</v>
      </c>
      <c r="C11" s="62">
        <f>+C9*B11</f>
        <v>26144.52546781908</v>
      </c>
      <c r="D11" s="63"/>
      <c r="E11" s="62"/>
      <c r="F11" s="63"/>
    </row>
    <row r="12" spans="3:6" ht="20.25">
      <c r="C12" s="62"/>
      <c r="D12" s="63"/>
      <c r="E12" s="62"/>
      <c r="F12" s="63"/>
    </row>
    <row r="13" spans="3:6" ht="20.25">
      <c r="C13" s="62"/>
      <c r="D13" s="63"/>
      <c r="E13" s="63"/>
      <c r="F13" s="63"/>
    </row>
    <row r="14" spans="1:6" ht="20.25">
      <c r="A14" s="30" t="s">
        <v>96</v>
      </c>
      <c r="B14" s="30" t="s">
        <v>88</v>
      </c>
      <c r="C14" s="62" t="s">
        <v>89</v>
      </c>
      <c r="D14" s="30" t="s">
        <v>97</v>
      </c>
      <c r="E14" s="65" t="s">
        <v>31</v>
      </c>
      <c r="F14" s="65" t="s">
        <v>90</v>
      </c>
    </row>
    <row r="15" spans="2:6" ht="20.25">
      <c r="B15" s="30" t="s">
        <v>91</v>
      </c>
      <c r="C15" s="62">
        <v>15000</v>
      </c>
      <c r="D15" s="62">
        <f>+C15/'suite 10'!C5</f>
        <v>750</v>
      </c>
      <c r="E15" s="63">
        <f>+D15*'suite 10'!D11</f>
        <v>10000</v>
      </c>
      <c r="F15" s="63"/>
    </row>
    <row r="16" spans="2:6" ht="20.25">
      <c r="B16" s="30" t="s">
        <v>92</v>
      </c>
      <c r="C16" s="62">
        <v>1000</v>
      </c>
      <c r="D16" s="63"/>
      <c r="E16" s="63"/>
      <c r="F16" s="63"/>
    </row>
    <row r="17" spans="2:6" ht="20.25">
      <c r="B17" s="30" t="s">
        <v>93</v>
      </c>
      <c r="C17" s="62">
        <v>2750</v>
      </c>
      <c r="D17" s="63"/>
      <c r="E17" s="63"/>
      <c r="F17" s="63"/>
    </row>
    <row r="18" spans="2:6" ht="21" thickBot="1">
      <c r="B18" s="30" t="s">
        <v>94</v>
      </c>
      <c r="C18" s="62">
        <v>1680</v>
      </c>
      <c r="D18" s="63"/>
      <c r="E18" s="63"/>
      <c r="F18" s="63"/>
    </row>
    <row r="19" spans="2:6" ht="21" thickBot="1">
      <c r="B19" s="30" t="s">
        <v>95</v>
      </c>
      <c r="C19" s="62">
        <f>SUM(C15:C18)</f>
        <v>20430</v>
      </c>
      <c r="D19" s="63">
        <f>+D15</f>
        <v>750</v>
      </c>
      <c r="E19" s="62">
        <f>+E15</f>
        <v>10000</v>
      </c>
      <c r="F19" s="64">
        <f>+E19+C19</f>
        <v>30430</v>
      </c>
    </row>
    <row r="20" spans="3:6" ht="20.25">
      <c r="C20" s="62"/>
      <c r="D20" s="63"/>
      <c r="E20" s="62"/>
      <c r="F20" s="63"/>
    </row>
    <row r="21" spans="1:6" ht="20.25">
      <c r="A21" s="30" t="s">
        <v>160</v>
      </c>
      <c r="B21" s="33">
        <f>+B11</f>
        <v>1.2797124555956476</v>
      </c>
      <c r="C21" s="62">
        <f>+C19*B11</f>
        <v>26144.52546781908</v>
      </c>
      <c r="D21" s="63"/>
      <c r="E21" s="63"/>
      <c r="F21" s="63"/>
    </row>
  </sheetData>
  <printOptions gridLines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workbookViewId="0" topLeftCell="A1">
      <selection activeCell="F16" sqref="F16"/>
    </sheetView>
  </sheetViews>
  <sheetFormatPr defaultColWidth="11.421875" defaultRowHeight="12.75"/>
  <cols>
    <col min="1" max="1" width="9.00390625" style="30" customWidth="1"/>
    <col min="2" max="2" width="20.00390625" style="30" bestFit="1" customWidth="1"/>
    <col min="3" max="3" width="19.8515625" style="31" bestFit="1" customWidth="1"/>
    <col min="4" max="4" width="19.8515625" style="30" bestFit="1" customWidth="1"/>
    <col min="5" max="5" width="22.421875" style="30" customWidth="1"/>
    <col min="6" max="6" width="21.7109375" style="30" customWidth="1"/>
    <col min="7" max="7" width="14.28125" style="30" customWidth="1"/>
    <col min="8" max="8" width="20.7109375" style="30" customWidth="1"/>
    <col min="9" max="9" width="15.140625" style="30" customWidth="1"/>
    <col min="10" max="10" width="24.421875" style="30" bestFit="1" customWidth="1"/>
    <col min="11" max="16384" width="11.421875" style="30" customWidth="1"/>
  </cols>
  <sheetData>
    <row r="1" ht="20.25">
      <c r="A1" s="30" t="s">
        <v>163</v>
      </c>
    </row>
    <row r="2" spans="1:10" ht="20.25">
      <c r="A2" s="81" t="s">
        <v>98</v>
      </c>
      <c r="B2" s="59"/>
      <c r="C2" s="59"/>
      <c r="D2" s="59"/>
      <c r="E2" s="82">
        <f>+'suite 10'!D5</f>
        <v>15000</v>
      </c>
      <c r="F2" s="81" t="s">
        <v>99</v>
      </c>
      <c r="G2" s="81"/>
      <c r="I2" s="73"/>
      <c r="J2" s="73"/>
    </row>
    <row r="3" spans="1:10" ht="20.25">
      <c r="A3" s="81" t="s">
        <v>169</v>
      </c>
      <c r="B3" s="81"/>
      <c r="C3" s="82"/>
      <c r="D3" s="82">
        <v>13.3333333</v>
      </c>
      <c r="E3" s="81"/>
      <c r="F3" s="81"/>
      <c r="G3" s="81"/>
      <c r="I3" s="60"/>
      <c r="J3" s="60"/>
    </row>
    <row r="4" spans="1:7" ht="87" customHeight="1">
      <c r="A4" s="76" t="s">
        <v>170</v>
      </c>
      <c r="B4" s="74" t="s">
        <v>168</v>
      </c>
      <c r="C4" s="81" t="s">
        <v>97</v>
      </c>
      <c r="D4" s="34" t="s">
        <v>100</v>
      </c>
      <c r="E4" s="57" t="s">
        <v>161</v>
      </c>
      <c r="F4" s="57" t="s">
        <v>162</v>
      </c>
      <c r="G4" s="35" t="s">
        <v>102</v>
      </c>
    </row>
    <row r="5" spans="1:8" ht="20.25">
      <c r="A5" s="77">
        <v>1</v>
      </c>
      <c r="B5" s="83">
        <v>18930</v>
      </c>
      <c r="C5" s="83">
        <v>75</v>
      </c>
      <c r="D5" s="84">
        <v>200</v>
      </c>
      <c r="E5" s="85">
        <f>+B5*D5+C5*D5*(20+13.33)</f>
        <v>4285950</v>
      </c>
      <c r="F5" s="85">
        <f>+C5*D5*$D$3</f>
        <v>199999.9995</v>
      </c>
      <c r="G5" s="75">
        <f>+E5/(B5*D5+C5*D5*20)</f>
        <v>1.048935389133627</v>
      </c>
      <c r="H5" s="35"/>
    </row>
    <row r="6" spans="1:8" ht="30" customHeight="1">
      <c r="A6" s="77">
        <v>2</v>
      </c>
      <c r="B6" s="83">
        <v>5430</v>
      </c>
      <c r="C6" s="83">
        <v>750</v>
      </c>
      <c r="D6" s="83">
        <f>+E2/C6</f>
        <v>20</v>
      </c>
      <c r="E6" s="85">
        <f>+B6*D6+C6*D6*(20+13.33)</f>
        <v>608550</v>
      </c>
      <c r="F6" s="85">
        <f>+C6*D6*$D$3</f>
        <v>199999.9995</v>
      </c>
      <c r="G6" s="75">
        <f>+E6/(B6*D6+C6*D6*20)</f>
        <v>1.4893538913362703</v>
      </c>
      <c r="H6" s="31"/>
    </row>
    <row r="7" spans="1:7" ht="20.25">
      <c r="A7" s="80" t="s">
        <v>105</v>
      </c>
      <c r="B7" s="69"/>
      <c r="C7" s="69"/>
      <c r="D7" s="69"/>
      <c r="E7" s="69"/>
      <c r="F7" s="69"/>
      <c r="G7" s="81"/>
    </row>
    <row r="8" spans="1:7" ht="20.25">
      <c r="A8" s="81" t="s">
        <v>164</v>
      </c>
      <c r="B8" s="81"/>
      <c r="C8" s="82"/>
      <c r="D8" s="81"/>
      <c r="E8" s="81"/>
      <c r="F8" s="81"/>
      <c r="G8" s="81"/>
    </row>
    <row r="9" spans="1:7" ht="48" customHeight="1">
      <c r="A9" s="78" t="s">
        <v>165</v>
      </c>
      <c r="B9" s="79"/>
      <c r="C9" s="79"/>
      <c r="D9" s="79"/>
      <c r="E9" s="79"/>
      <c r="F9" s="79"/>
      <c r="G9" s="34"/>
    </row>
    <row r="10" spans="1:7" ht="20.25">
      <c r="A10" s="78" t="s">
        <v>101</v>
      </c>
      <c r="B10" s="79"/>
      <c r="C10" s="79"/>
      <c r="D10" s="79"/>
      <c r="E10" s="79"/>
      <c r="F10" s="79"/>
      <c r="G10" s="81"/>
    </row>
    <row r="11" spans="1:7" ht="20.25">
      <c r="A11" s="81" t="s">
        <v>106</v>
      </c>
      <c r="B11" s="81"/>
      <c r="C11" s="82"/>
      <c r="D11" s="81"/>
      <c r="E11" s="81"/>
      <c r="F11" s="81"/>
      <c r="G11" s="81"/>
    </row>
    <row r="12" spans="1:7" ht="40.5" customHeight="1">
      <c r="A12" s="78" t="s">
        <v>171</v>
      </c>
      <c r="B12" s="79"/>
      <c r="C12" s="79"/>
      <c r="D12" s="79"/>
      <c r="E12" s="79"/>
      <c r="F12" s="79"/>
      <c r="G12" s="81"/>
    </row>
    <row r="13" spans="1:7" ht="20.25">
      <c r="A13" s="81"/>
      <c r="B13" s="81"/>
      <c r="C13" s="82"/>
      <c r="D13" s="81"/>
      <c r="E13" s="81"/>
      <c r="F13" s="81"/>
      <c r="G13" s="81"/>
    </row>
  </sheetData>
  <mergeCells count="5">
    <mergeCell ref="A10:F10"/>
    <mergeCell ref="A12:F12"/>
    <mergeCell ref="I2:J2"/>
    <mergeCell ref="A9:F9"/>
    <mergeCell ref="A7:F7"/>
  </mergeCells>
  <printOptions gridLines="1"/>
  <pageMargins left="0.75" right="0.75" top="1" bottom="1" header="0.4921259845" footer="0.4921259845"/>
  <pageSetup orientation="landscape" paperSize="9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LARTIGUE</dc:creator>
  <cp:keywords/>
  <dc:description/>
  <cp:lastModifiedBy> </cp:lastModifiedBy>
  <cp:lastPrinted>2004-05-31T08:46:27Z</cp:lastPrinted>
  <dcterms:created xsi:type="dcterms:W3CDTF">2004-05-08T07:06:09Z</dcterms:created>
  <dcterms:modified xsi:type="dcterms:W3CDTF">2007-05-17T09:15:46Z</dcterms:modified>
  <cp:category/>
  <cp:version/>
  <cp:contentType/>
  <cp:contentStatus/>
</cp:coreProperties>
</file>